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04"/>
  <workbookPr defaultThemeVersion="166925"/>
  <xr:revisionPtr revIDLastSave="0" documentId="8_{EBACB257-CDEF-4F2A-ABED-930BA4D87A20}" xr6:coauthVersionLast="47" xr6:coauthVersionMax="47" xr10:uidLastSave="{00000000-0000-0000-0000-000000000000}"/>
  <bookViews>
    <workbookView xWindow="240" yWindow="105" windowWidth="14805" windowHeight="8010" xr2:uid="{00000000-000D-0000-FFFF-FFFF00000000}"/>
  </bookViews>
  <sheets>
    <sheet name="Arrears Calculator" sheetId="1" r:id="rId1"/>
    <sheet name="Formula &amp; Referen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 l="1"/>
  <c r="B32" i="1" s="1"/>
  <c r="B33" i="1" s="1"/>
  <c r="B34" i="1" s="1"/>
  <c r="B35" i="1" s="1"/>
  <c r="B36" i="1" s="1"/>
  <c r="B37" i="1" s="1"/>
  <c r="B38" i="1" s="1"/>
  <c r="B39" i="1" s="1"/>
  <c r="B40" i="1" s="1"/>
  <c r="B41" i="1" s="1"/>
  <c r="B42" i="1" s="1"/>
  <c r="B43" i="1" s="1"/>
  <c r="B44" i="1" s="1"/>
  <c r="B45" i="1" s="1"/>
  <c r="B46" i="1" s="1"/>
  <c r="B47" i="1" s="1"/>
  <c r="F11" i="1"/>
  <c r="F12" i="1" s="1"/>
  <c r="F13" i="1" s="1"/>
  <c r="F14" i="1" s="1"/>
  <c r="F15" i="1" s="1"/>
  <c r="F16" i="1" s="1"/>
  <c r="F17" i="1" s="1"/>
  <c r="F18" i="1" s="1"/>
  <c r="F19" i="1" s="1"/>
  <c r="F20" i="1" s="1"/>
  <c r="F21" i="1" s="1"/>
  <c r="F22" i="1" s="1"/>
  <c r="F23" i="1" s="1"/>
  <c r="F24" i="1" s="1"/>
  <c r="F25" i="1" s="1"/>
  <c r="F26" i="1" s="1"/>
  <c r="J46" i="1"/>
  <c r="J47" i="1"/>
  <c r="E11" i="1"/>
  <c r="E12" i="1" s="1"/>
  <c r="E13" i="1" s="1"/>
  <c r="E14" i="1" s="1"/>
  <c r="E15" i="1" s="1"/>
  <c r="E16" i="1" s="1"/>
  <c r="E17" i="1" s="1"/>
  <c r="E18" i="1" s="1"/>
  <c r="E19" i="1" s="1"/>
  <c r="E20" i="1" s="1"/>
  <c r="E21" i="1" s="1"/>
  <c r="E22" i="1" s="1"/>
  <c r="E23" i="1" s="1"/>
  <c r="E24" i="1" s="1"/>
  <c r="E25" i="1" s="1"/>
  <c r="G10" i="1"/>
  <c r="B23" i="2"/>
  <c r="B22" i="2"/>
  <c r="B21" i="2"/>
  <c r="B20" i="2"/>
  <c r="B19" i="2"/>
  <c r="B18" i="2"/>
  <c r="B17" i="2"/>
  <c r="B16" i="2"/>
  <c r="B15" i="2"/>
  <c r="B14" i="2"/>
  <c r="B13" i="2"/>
  <c r="B12" i="2"/>
  <c r="B11" i="2"/>
  <c r="B10" i="2"/>
  <c r="B9" i="2"/>
  <c r="B8" i="2"/>
  <c r="B7" i="2"/>
  <c r="B6" i="2"/>
  <c r="B5" i="2"/>
  <c r="C10" i="1"/>
  <c r="I10" i="1" s="1"/>
  <c r="F31" i="1"/>
  <c r="F32" i="1" s="1"/>
  <c r="F33" i="1" s="1"/>
  <c r="F34" i="1" s="1"/>
  <c r="F35" i="1" s="1"/>
  <c r="F36" i="1" s="1"/>
  <c r="F37" i="1" s="1"/>
  <c r="F38" i="1" s="1"/>
  <c r="F39" i="1" s="1"/>
  <c r="F40" i="1" s="1"/>
  <c r="F41" i="1" s="1"/>
  <c r="F42" i="1" s="1"/>
  <c r="F43" i="1" s="1"/>
  <c r="F44" i="1" s="1"/>
  <c r="F45" i="1" s="1"/>
  <c r="F46" i="1" s="1"/>
  <c r="F47" i="1" s="1"/>
  <c r="J31" i="1"/>
  <c r="E31" i="1"/>
  <c r="I51" i="2"/>
  <c r="D31" i="1"/>
  <c r="H51" i="2"/>
  <c r="D11" i="1"/>
  <c r="J11" i="1"/>
  <c r="J32" i="1" s="1"/>
  <c r="J12" i="1"/>
  <c r="J33" i="1" s="1"/>
  <c r="J13" i="1"/>
  <c r="J34" i="1" s="1"/>
  <c r="J14" i="1"/>
  <c r="J35" i="1" s="1"/>
  <c r="J15" i="1"/>
  <c r="J36" i="1" s="1"/>
  <c r="J16" i="1"/>
  <c r="J37" i="1" s="1"/>
  <c r="J17" i="1"/>
  <c r="J38" i="1" s="1"/>
  <c r="J18" i="1"/>
  <c r="J39" i="1" s="1"/>
  <c r="J19" i="1"/>
  <c r="J40" i="1" s="1"/>
  <c r="J20" i="1"/>
  <c r="J41" i="1" s="1"/>
  <c r="J21" i="1"/>
  <c r="J42" i="1" s="1"/>
  <c r="J22" i="1"/>
  <c r="J43" i="1" s="1"/>
  <c r="J23" i="1"/>
  <c r="E32" i="1"/>
  <c r="K31" i="1"/>
  <c r="B11" i="1"/>
  <c r="K11" i="1"/>
  <c r="K10" i="1"/>
  <c r="E33" i="1"/>
  <c r="B12" i="1"/>
  <c r="K12" i="1"/>
  <c r="E34" i="1"/>
  <c r="B13" i="1"/>
  <c r="K13" i="1"/>
  <c r="E35" i="1"/>
  <c r="B14" i="1"/>
  <c r="K14" i="1"/>
  <c r="E36" i="1"/>
  <c r="B15" i="1"/>
  <c r="K15" i="1"/>
  <c r="E37" i="1"/>
  <c r="B16" i="1"/>
  <c r="K16" i="1"/>
  <c r="K36" i="1"/>
  <c r="E38" i="1"/>
  <c r="B17" i="1"/>
  <c r="K17" i="1"/>
  <c r="E39" i="1"/>
  <c r="E40" i="1"/>
  <c r="E41" i="1"/>
  <c r="E42" i="1"/>
  <c r="E43" i="1"/>
  <c r="E44" i="1"/>
  <c r="E26" i="1" l="1"/>
  <c r="E47" i="1" s="1"/>
  <c r="E46" i="1"/>
  <c r="B18" i="1"/>
  <c r="J44" i="1"/>
  <c r="J24" i="1"/>
  <c r="G36" i="1"/>
  <c r="C36" i="1"/>
  <c r="G31" i="1"/>
  <c r="C31" i="1"/>
  <c r="G18" i="1"/>
  <c r="G17" i="1"/>
  <c r="G16" i="1"/>
  <c r="G15" i="1"/>
  <c r="G14" i="1"/>
  <c r="G13" i="1"/>
  <c r="G12" i="1"/>
  <c r="G11" i="1"/>
  <c r="L10" i="1"/>
  <c r="C18" i="1"/>
  <c r="C17" i="1"/>
  <c r="C16" i="1"/>
  <c r="C15" i="1"/>
  <c r="C14" i="1"/>
  <c r="C13" i="1"/>
  <c r="C12" i="1"/>
  <c r="C11" i="1"/>
  <c r="I11" i="1" s="1"/>
  <c r="L11" i="1" s="1"/>
  <c r="E45" i="1"/>
  <c r="J45" i="1"/>
  <c r="I36" i="1"/>
  <c r="I31" i="1"/>
  <c r="L31" i="1" s="1"/>
  <c r="D12" i="1"/>
  <c r="D32" i="1"/>
  <c r="K18" i="1" l="1"/>
  <c r="B19" i="1"/>
  <c r="J25" i="1"/>
  <c r="J26" i="1" s="1"/>
  <c r="G32" i="1"/>
  <c r="C32" i="1"/>
  <c r="G33" i="1"/>
  <c r="C33" i="1"/>
  <c r="G34" i="1"/>
  <c r="C34" i="1"/>
  <c r="G35" i="1"/>
  <c r="C35" i="1"/>
  <c r="G37" i="1"/>
  <c r="C37" i="1"/>
  <c r="G38" i="1"/>
  <c r="C38" i="1"/>
  <c r="I12" i="1"/>
  <c r="L12" i="1" s="1"/>
  <c r="I32" i="1"/>
  <c r="K32" i="1"/>
  <c r="I33" i="1"/>
  <c r="K33" i="1"/>
  <c r="I34" i="1"/>
  <c r="K34" i="1"/>
  <c r="I35" i="1"/>
  <c r="K35" i="1"/>
  <c r="I37" i="1"/>
  <c r="K37" i="1"/>
  <c r="I38" i="1"/>
  <c r="K38" i="1"/>
  <c r="D13" i="1"/>
  <c r="I13" i="1" s="1"/>
  <c r="L13" i="1" s="1"/>
  <c r="D33" i="1"/>
  <c r="K19" i="1" l="1"/>
  <c r="B20" i="1"/>
  <c r="G19" i="1"/>
  <c r="C19" i="1"/>
  <c r="K39" i="1"/>
  <c r="G39" i="1"/>
  <c r="C39" i="1"/>
  <c r="I39" i="1"/>
  <c r="L33" i="1"/>
  <c r="L32" i="1"/>
  <c r="D14" i="1"/>
  <c r="I14" i="1" s="1"/>
  <c r="L14" i="1" s="1"/>
  <c r="D34" i="1"/>
  <c r="L34" i="1" s="1"/>
  <c r="K20" i="1" l="1"/>
  <c r="B21" i="1"/>
  <c r="G20" i="1"/>
  <c r="C20" i="1"/>
  <c r="G40" i="1"/>
  <c r="C40" i="1"/>
  <c r="I40" i="1"/>
  <c r="K40" i="1"/>
  <c r="D15" i="1"/>
  <c r="I15" i="1" s="1"/>
  <c r="L15" i="1" s="1"/>
  <c r="D35" i="1"/>
  <c r="L35" i="1" s="1"/>
  <c r="K21" i="1" l="1"/>
  <c r="B22" i="1"/>
  <c r="G21" i="1"/>
  <c r="C21" i="1"/>
  <c r="G41" i="1"/>
  <c r="C41" i="1"/>
  <c r="I41" i="1"/>
  <c r="K41" i="1"/>
  <c r="D16" i="1"/>
  <c r="I16" i="1" s="1"/>
  <c r="L16" i="1" s="1"/>
  <c r="D36" i="1"/>
  <c r="L36" i="1" s="1"/>
  <c r="K22" i="1" l="1"/>
  <c r="B23" i="1"/>
  <c r="G22" i="1"/>
  <c r="C22" i="1"/>
  <c r="G42" i="1"/>
  <c r="C42" i="1"/>
  <c r="I42" i="1"/>
  <c r="K42" i="1"/>
  <c r="D17" i="1"/>
  <c r="I17" i="1" s="1"/>
  <c r="L17" i="1" s="1"/>
  <c r="D37" i="1"/>
  <c r="L37" i="1" s="1"/>
  <c r="K23" i="1" l="1"/>
  <c r="B24" i="1"/>
  <c r="G23" i="1"/>
  <c r="C23" i="1"/>
  <c r="G43" i="1"/>
  <c r="C43" i="1"/>
  <c r="I43" i="1"/>
  <c r="K43" i="1"/>
  <c r="D18" i="1"/>
  <c r="I18" i="1" s="1"/>
  <c r="L18" i="1" s="1"/>
  <c r="D38" i="1"/>
  <c r="L38" i="1" s="1"/>
  <c r="B25" i="1" l="1"/>
  <c r="G24" i="1"/>
  <c r="C24" i="1"/>
  <c r="K24" i="1"/>
  <c r="G44" i="1"/>
  <c r="C44" i="1"/>
  <c r="I44" i="1"/>
  <c r="K44" i="1"/>
  <c r="D19" i="1"/>
  <c r="I19" i="1" s="1"/>
  <c r="L19" i="1" s="1"/>
  <c r="D39" i="1"/>
  <c r="L39" i="1" s="1"/>
  <c r="K25" i="1" l="1"/>
  <c r="G25" i="1"/>
  <c r="C25" i="1"/>
  <c r="B26" i="1"/>
  <c r="G45" i="1"/>
  <c r="C45" i="1"/>
  <c r="I45" i="1"/>
  <c r="K45" i="1"/>
  <c r="D20" i="1"/>
  <c r="I20" i="1" s="1"/>
  <c r="L20" i="1" s="1"/>
  <c r="D40" i="1"/>
  <c r="L40" i="1" s="1"/>
  <c r="K26" i="1" l="1"/>
  <c r="G26" i="1"/>
  <c r="C26" i="1"/>
  <c r="C46" i="1"/>
  <c r="G46" i="1"/>
  <c r="I46" i="1"/>
  <c r="K46" i="1"/>
  <c r="D21" i="1"/>
  <c r="I21" i="1" s="1"/>
  <c r="L21" i="1" s="1"/>
  <c r="D41" i="1"/>
  <c r="L41" i="1" s="1"/>
  <c r="C47" i="1" l="1"/>
  <c r="G47" i="1"/>
  <c r="I47" i="1"/>
  <c r="K47" i="1"/>
  <c r="D22" i="1"/>
  <c r="I22" i="1" s="1"/>
  <c r="L22" i="1" s="1"/>
  <c r="D42" i="1"/>
  <c r="L42" i="1" s="1"/>
  <c r="D23" i="1" l="1"/>
  <c r="I23" i="1" s="1"/>
  <c r="L23" i="1" s="1"/>
  <c r="D43" i="1"/>
  <c r="L43" i="1" s="1"/>
  <c r="D24" i="1" l="1"/>
  <c r="D44" i="1"/>
  <c r="L44" i="1" s="1"/>
  <c r="I24" i="1" l="1"/>
  <c r="L24" i="1" s="1"/>
  <c r="D25" i="1"/>
  <c r="D46" i="1" s="1"/>
  <c r="L46" i="1" s="1"/>
  <c r="D45" i="1"/>
  <c r="L45" i="1" s="1"/>
  <c r="D26" i="1" l="1"/>
  <c r="D47" i="1" s="1"/>
  <c r="L47" i="1" s="1"/>
  <c r="L48" i="1" s="1"/>
  <c r="I25" i="1"/>
  <c r="L25" i="1" s="1"/>
  <c r="E53" i="1"/>
  <c r="E54" i="1" s="1"/>
  <c r="I26" i="1" l="1"/>
  <c r="L26" i="1" s="1"/>
  <c r="L27" i="1" s="1"/>
  <c r="E55" i="1" s="1"/>
  <c r="E56" i="1" s="1"/>
  <c r="E52" i="1"/>
  <c r="F49" i="1"/>
  <c r="D59" i="1" s="1"/>
</calcChain>
</file>

<file path=xl/sharedStrings.xml><?xml version="1.0" encoding="utf-8"?>
<sst xmlns="http://schemas.openxmlformats.org/spreadsheetml/2006/main" count="64" uniqueCount="50">
  <si>
    <t>ARREARS CALCULATOR- CLERICAL STAFF</t>
  </si>
  <si>
    <t>by bankingschool.co.in</t>
  </si>
  <si>
    <t>Instructions</t>
  </si>
  <si>
    <t xml:space="preserve">To make calculations simple and easy, this excel sheet is divided into two tables. (i) OLD SALARY (ii) NEW SALARY. All blue coloured cells inside the 'OLD SALARY' table can be manually updated to accomodate any changes due to increments. If you are eligible for FPP, you need to update the blue cell on both OLD SALARY and NEW SALARY table. Rest all fields will be updated automatically.				</t>
  </si>
  <si>
    <t>For Step-by-Step instructions with screenshots visit</t>
  </si>
  <si>
    <t>https://bankingschool.co.in/bank-news/arrears-calculator-for-clerical-customer-service-associates/</t>
  </si>
  <si>
    <t xml:space="preserve">Please update the blue fields (BASIC,PQP, FPP, SPL. PAY, HRA%) on the first row [ Nov-22 ]. If you are not eligible for PQP or FPP, then please select 0. </t>
  </si>
  <si>
    <t>OLD / EXISTING SALARY</t>
  </si>
  <si>
    <t>REFERENCE</t>
  </si>
  <si>
    <t>Month</t>
  </si>
  <si>
    <t>BASIC</t>
  </si>
  <si>
    <t xml:space="preserve">SPL ALL. </t>
  </si>
  <si>
    <t>SPL.PAY</t>
  </si>
  <si>
    <t>PQP</t>
  </si>
  <si>
    <t>FPP</t>
  </si>
  <si>
    <t>TA</t>
  </si>
  <si>
    <t xml:space="preserve">DA % </t>
  </si>
  <si>
    <t xml:space="preserve">DA </t>
  </si>
  <si>
    <t>HRA %</t>
  </si>
  <si>
    <t>HRA</t>
  </si>
  <si>
    <t>GROSS</t>
  </si>
  <si>
    <t>Special Pay (old salary)</t>
  </si>
  <si>
    <t xml:space="preserve">SWO / Customer Service Associate </t>
  </si>
  <si>
    <t>Head Cashier / Senior Customer Service Associate</t>
  </si>
  <si>
    <t>Special Assistant / Special Customer Service Associate</t>
  </si>
  <si>
    <t>*new special pay will be calculated automatically</t>
  </si>
  <si>
    <t>NEW / REVISED SALARY</t>
  </si>
  <si>
    <t>ARREARS</t>
  </si>
  <si>
    <t>Some amount will be deducted from the above.To calculate actual take home, fill the form below</t>
  </si>
  <si>
    <t xml:space="preserve">1. DIFFERENCE OF PF/NPS </t>
  </si>
  <si>
    <t>A - B</t>
  </si>
  <si>
    <t>Gross New Salary</t>
  </si>
  <si>
    <t xml:space="preserve">PF/NPS Deductable on New Salary </t>
  </si>
  <si>
    <t>(A)</t>
  </si>
  <si>
    <t>Gross Old Salary</t>
  </si>
  <si>
    <t xml:space="preserve">PF/NPS already paid on Old Salary </t>
  </si>
  <si>
    <t>(B)</t>
  </si>
  <si>
    <t>3. TAX DEDUCTED AT SOURCE (TDS)</t>
  </si>
  <si>
    <t>Please type your TDS here</t>
  </si>
  <si>
    <t>4. OTHERS</t>
  </si>
  <si>
    <t>Use it to compute any other deduction known to you</t>
  </si>
  <si>
    <t>ACTUAL TAKE HOME</t>
  </si>
  <si>
    <t>This sheet is created for formulas and reference purposes only. You are not required to make any changes in this sheet.</t>
  </si>
  <si>
    <t>Old BASIC</t>
  </si>
  <si>
    <t>New BASIC</t>
  </si>
  <si>
    <t>SPL PAY</t>
  </si>
  <si>
    <t>Old PQP</t>
  </si>
  <si>
    <t>New PQP</t>
  </si>
  <si>
    <t>Old FPP</t>
  </si>
  <si>
    <t>New FPP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</si>
</sst>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u/>
      <sz val="12"/>
      <color theme="1"/>
      <name val="Calibri"/>
      <family val="2"/>
      <scheme val="minor"/>
    </font>
    <font>
      <i/>
      <sz val="11"/>
      <color rgb="FFFFFFFF"/>
      <name val="Calibri"/>
      <family val="2"/>
      <scheme val="minor"/>
    </font>
    <font>
      <sz val="11"/>
      <color rgb="FFFFFFFF"/>
      <name val="Calibri"/>
      <family val="2"/>
      <scheme val="minor"/>
    </font>
    <font>
      <sz val="10"/>
      <color theme="1"/>
      <name val="Calibri"/>
      <family val="2"/>
      <scheme val="minor"/>
    </font>
    <font>
      <i/>
      <sz val="10"/>
      <color theme="1"/>
      <name val="Calibri"/>
      <family val="2"/>
      <scheme val="minor"/>
    </font>
    <font>
      <sz val="12"/>
      <color rgb="FFFFFFFF"/>
      <name val="Calibri"/>
      <family val="2"/>
      <scheme val="minor"/>
    </font>
    <font>
      <sz val="26"/>
      <color theme="1"/>
      <name val="Calibri"/>
      <family val="2"/>
      <scheme val="minor"/>
    </font>
    <font>
      <sz val="26"/>
      <color rgb="FFFFFFFF"/>
      <name val="Calibri"/>
      <family val="2"/>
      <scheme val="minor"/>
    </font>
    <font>
      <sz val="11"/>
      <color rgb="FF000000"/>
      <name val="Roboto"/>
    </font>
    <font>
      <u/>
      <sz val="11"/>
      <color theme="10"/>
      <name val="Calibri"/>
      <family val="2"/>
      <scheme val="minor"/>
    </font>
    <font>
      <sz val="16"/>
      <color rgb="FFFFFFFF"/>
      <name val="Calibri"/>
      <family val="2"/>
      <scheme val="minor"/>
    </font>
    <font>
      <b/>
      <sz val="14"/>
      <color rgb="FF000000"/>
      <name val="Calibri"/>
      <family val="2"/>
      <scheme val="minor"/>
    </font>
  </fonts>
  <fills count="13">
    <fill>
      <patternFill patternType="none"/>
    </fill>
    <fill>
      <patternFill patternType="gray125"/>
    </fill>
    <fill>
      <patternFill patternType="solid">
        <fgColor rgb="FF000000"/>
        <bgColor indexed="64"/>
      </patternFill>
    </fill>
    <fill>
      <patternFill patternType="solid">
        <fgColor rgb="FF595959"/>
        <bgColor indexed="64"/>
      </patternFill>
    </fill>
    <fill>
      <patternFill patternType="solid">
        <fgColor rgb="FF333F4F"/>
        <bgColor indexed="64"/>
      </patternFill>
    </fill>
    <fill>
      <patternFill patternType="solid">
        <fgColor rgb="FFDDEBF7"/>
        <bgColor indexed="64"/>
      </patternFill>
    </fill>
    <fill>
      <patternFill patternType="solid">
        <fgColor rgb="FF305496"/>
        <bgColor indexed="64"/>
      </patternFill>
    </fill>
    <fill>
      <patternFill patternType="solid">
        <fgColor rgb="FFFFFFFF"/>
        <bgColor indexed="64"/>
      </patternFill>
    </fill>
    <fill>
      <patternFill patternType="solid">
        <fgColor rgb="FF404040"/>
        <bgColor indexed="64"/>
      </patternFill>
    </fill>
    <fill>
      <patternFill patternType="solid">
        <fgColor rgb="FFFFFFFF"/>
        <bgColor rgb="FF000000"/>
      </patternFill>
    </fill>
    <fill>
      <patternFill patternType="solid">
        <fgColor theme="0"/>
        <bgColor indexed="64"/>
      </patternFill>
    </fill>
    <fill>
      <patternFill patternType="solid">
        <fgColor rgb="FFD9D9D9"/>
        <bgColor indexed="64"/>
      </patternFill>
    </fill>
    <fill>
      <patternFill patternType="solid">
        <fgColor rgb="FF44546A"/>
        <bgColor indexed="64"/>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10" fillId="0" borderId="0" applyNumberFormat="0" applyFill="0" applyBorder="0" applyAlignment="0" applyProtection="0"/>
  </cellStyleXfs>
  <cellXfs count="106">
    <xf numFmtId="0" fontId="0" fillId="0" borderId="0" xfId="0"/>
    <xf numFmtId="0" fontId="3" fillId="4" borderId="5" xfId="0" applyFont="1" applyFill="1" applyBorder="1" applyAlignment="1">
      <alignment horizontal="center"/>
    </xf>
    <xf numFmtId="17" fontId="0" fillId="0" borderId="6" xfId="0" applyNumberFormat="1" applyBorder="1" applyAlignment="1">
      <alignment horizontal="center"/>
    </xf>
    <xf numFmtId="3" fontId="0" fillId="5" borderId="6" xfId="0" applyNumberFormat="1" applyFill="1" applyBorder="1" applyAlignment="1">
      <alignment horizontal="center"/>
    </xf>
    <xf numFmtId="0" fontId="0" fillId="5" borderId="6" xfId="0" applyFill="1" applyBorder="1" applyAlignment="1">
      <alignment horizontal="center"/>
    </xf>
    <xf numFmtId="1" fontId="0" fillId="0" borderId="7" xfId="0" applyNumberFormat="1" applyBorder="1" applyAlignment="1">
      <alignment horizontal="center"/>
    </xf>
    <xf numFmtId="10" fontId="0" fillId="0" borderId="8" xfId="0" applyNumberFormat="1" applyBorder="1" applyAlignment="1">
      <alignment horizontal="center"/>
    </xf>
    <xf numFmtId="1" fontId="0" fillId="0" borderId="6" xfId="0" applyNumberFormat="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3" fontId="0" fillId="7" borderId="6" xfId="0" applyNumberFormat="1" applyFill="1" applyBorder="1" applyAlignment="1">
      <alignment horizontal="center"/>
    </xf>
    <xf numFmtId="1" fontId="0" fillId="7" borderId="7" xfId="0" applyNumberFormat="1" applyFill="1" applyBorder="1" applyAlignment="1">
      <alignment horizontal="center"/>
    </xf>
    <xf numFmtId="1" fontId="0" fillId="7" borderId="6" xfId="0" applyNumberFormat="1" applyFill="1" applyBorder="1" applyAlignment="1">
      <alignment horizontal="center"/>
    </xf>
    <xf numFmtId="10" fontId="0" fillId="0" borderId="6" xfId="0" applyNumberFormat="1" applyBorder="1" applyAlignment="1">
      <alignment horizontal="center"/>
    </xf>
    <xf numFmtId="0" fontId="0" fillId="7" borderId="8" xfId="0" applyFill="1" applyBorder="1" applyAlignment="1">
      <alignment horizontal="center"/>
    </xf>
    <xf numFmtId="0" fontId="6" fillId="8" borderId="9" xfId="0" applyFont="1" applyFill="1" applyBorder="1" applyAlignment="1">
      <alignment horizontal="center" wrapText="1"/>
    </xf>
    <xf numFmtId="0" fontId="9" fillId="9" borderId="6" xfId="0" applyFont="1" applyFill="1" applyBorder="1" applyAlignment="1">
      <alignment horizontal="center" wrapText="1"/>
    </xf>
    <xf numFmtId="0" fontId="0" fillId="0" borderId="9" xfId="0" applyBorder="1" applyAlignment="1">
      <alignment horizontal="center"/>
    </xf>
    <xf numFmtId="0" fontId="0" fillId="5" borderId="16" xfId="0" applyFill="1" applyBorder="1" applyAlignment="1">
      <alignment horizontal="center"/>
    </xf>
    <xf numFmtId="0" fontId="0" fillId="0" borderId="6" xfId="0" applyBorder="1" applyAlignment="1">
      <alignment horizontal="center" vertical="center"/>
    </xf>
    <xf numFmtId="10" fontId="0" fillId="7" borderId="6" xfId="0" applyNumberFormat="1" applyFill="1" applyBorder="1" applyAlignment="1">
      <alignment horizontal="center"/>
    </xf>
    <xf numFmtId="0" fontId="3" fillId="2" borderId="0" xfId="0" applyFont="1" applyFill="1" applyAlignment="1">
      <alignment horizontal="center"/>
    </xf>
    <xf numFmtId="0" fontId="3" fillId="2" borderId="4" xfId="0" applyFont="1" applyFill="1" applyBorder="1" applyAlignment="1">
      <alignment horizontal="center"/>
    </xf>
    <xf numFmtId="0" fontId="6" fillId="2" borderId="9" xfId="0" applyFont="1" applyFill="1" applyBorder="1" applyAlignment="1">
      <alignment horizontal="center" wrapText="1"/>
    </xf>
    <xf numFmtId="3" fontId="3" fillId="8" borderId="0" xfId="0" applyNumberFormat="1" applyFont="1" applyFill="1" applyAlignment="1">
      <alignment horizontal="center"/>
    </xf>
    <xf numFmtId="1" fontId="9" fillId="9" borderId="6" xfId="0" applyNumberFormat="1" applyFont="1" applyFill="1" applyBorder="1" applyAlignment="1">
      <alignment horizontal="center" wrapText="1"/>
    </xf>
    <xf numFmtId="1" fontId="0" fillId="0" borderId="6" xfId="0" applyNumberFormat="1" applyBorder="1" applyAlignment="1">
      <alignment horizontal="center" vertical="center"/>
    </xf>
    <xf numFmtId="1" fontId="0" fillId="7" borderId="16" xfId="0" applyNumberFormat="1" applyFill="1" applyBorder="1" applyAlignment="1">
      <alignment horizontal="center"/>
    </xf>
    <xf numFmtId="10" fontId="0" fillId="10" borderId="6" xfId="0" applyNumberFormat="1" applyFill="1" applyBorder="1" applyAlignment="1">
      <alignment horizontal="center"/>
    </xf>
    <xf numFmtId="0" fontId="4" fillId="0" borderId="0" xfId="0" applyFont="1"/>
    <xf numFmtId="0" fontId="0" fillId="0" borderId="0" xfId="0" applyAlignment="1">
      <alignment horizontal="left"/>
    </xf>
    <xf numFmtId="1" fontId="0" fillId="0" borderId="20" xfId="0" applyNumberFormat="1" applyBorder="1" applyAlignment="1">
      <alignment horizontal="left"/>
    </xf>
    <xf numFmtId="1" fontId="0" fillId="5" borderId="21" xfId="0" applyNumberFormat="1" applyFill="1" applyBorder="1" applyAlignment="1">
      <alignment horizontal="left"/>
    </xf>
    <xf numFmtId="1" fontId="0" fillId="5" borderId="20" xfId="0" applyNumberFormat="1" applyFill="1" applyBorder="1" applyAlignment="1">
      <alignment horizontal="left"/>
    </xf>
    <xf numFmtId="1" fontId="0" fillId="11" borderId="8" xfId="0" applyNumberFormat="1" applyFill="1" applyBorder="1" applyAlignment="1">
      <alignment horizontal="left"/>
    </xf>
    <xf numFmtId="1" fontId="0" fillId="11" borderId="22" xfId="0" applyNumberFormat="1" applyFill="1" applyBorder="1" applyAlignment="1">
      <alignment horizontal="left"/>
    </xf>
    <xf numFmtId="0" fontId="0" fillId="7" borderId="6" xfId="0" applyFill="1" applyBorder="1" applyAlignment="1">
      <alignment horizontal="center"/>
    </xf>
    <xf numFmtId="17" fontId="0" fillId="0" borderId="9" xfId="0" applyNumberFormat="1" applyBorder="1" applyAlignment="1">
      <alignment horizontal="center"/>
    </xf>
    <xf numFmtId="3" fontId="0" fillId="5" borderId="9" xfId="0" applyNumberFormat="1" applyFill="1" applyBorder="1" applyAlignment="1">
      <alignment horizontal="center"/>
    </xf>
    <xf numFmtId="1" fontId="0" fillId="0" borderId="23" xfId="0" applyNumberFormat="1" applyBorder="1" applyAlignment="1">
      <alignment horizontal="center"/>
    </xf>
    <xf numFmtId="0" fontId="0" fillId="5" borderId="9" xfId="0" applyFill="1" applyBorder="1" applyAlignment="1">
      <alignment horizontal="center"/>
    </xf>
    <xf numFmtId="0" fontId="0" fillId="7" borderId="22" xfId="0" applyFill="1" applyBorder="1" applyAlignment="1">
      <alignment horizontal="center"/>
    </xf>
    <xf numFmtId="10" fontId="0" fillId="0" borderId="22" xfId="0" applyNumberFormat="1" applyBorder="1" applyAlignment="1">
      <alignment horizontal="center"/>
    </xf>
    <xf numFmtId="1" fontId="0" fillId="0" borderId="9" xfId="0" applyNumberFormat="1" applyBorder="1" applyAlignment="1">
      <alignment horizontal="center"/>
    </xf>
    <xf numFmtId="10" fontId="0" fillId="10" borderId="9" xfId="0" applyNumberFormat="1" applyFill="1" applyBorder="1" applyAlignment="1">
      <alignment horizontal="center"/>
    </xf>
    <xf numFmtId="3" fontId="0" fillId="0" borderId="9" xfId="0" applyNumberFormat="1" applyBorder="1" applyAlignment="1">
      <alignment horizontal="center"/>
    </xf>
    <xf numFmtId="1" fontId="9" fillId="9" borderId="9" xfId="0" applyNumberFormat="1" applyFont="1" applyFill="1" applyBorder="1" applyAlignment="1">
      <alignment horizontal="center" wrapText="1"/>
    </xf>
    <xf numFmtId="0" fontId="0" fillId="0" borderId="17" xfId="0" applyBorder="1"/>
    <xf numFmtId="0" fontId="0" fillId="0" borderId="6" xfId="0" applyBorder="1"/>
    <xf numFmtId="0" fontId="9" fillId="9" borderId="9" xfId="0" applyFont="1" applyFill="1" applyBorder="1" applyAlignment="1">
      <alignment horizontal="center" wrapText="1"/>
    </xf>
    <xf numFmtId="0" fontId="2" fillId="6" borderId="11" xfId="0" applyFont="1" applyFill="1" applyBorder="1" applyAlignment="1">
      <alignment horizontal="center"/>
    </xf>
    <xf numFmtId="0" fontId="2" fillId="6" borderId="12" xfId="0" applyFont="1" applyFill="1" applyBorder="1" applyAlignment="1">
      <alignment horizontal="center"/>
    </xf>
    <xf numFmtId="17" fontId="3" fillId="3" borderId="1" xfId="0" applyNumberFormat="1" applyFont="1" applyFill="1" applyBorder="1" applyAlignment="1">
      <alignment horizontal="center"/>
    </xf>
    <xf numFmtId="17" fontId="3" fillId="3" borderId="2" xfId="0" applyNumberFormat="1" applyFont="1" applyFill="1" applyBorder="1" applyAlignment="1">
      <alignment horizontal="center"/>
    </xf>
    <xf numFmtId="17" fontId="3" fillId="3" borderId="3" xfId="0" applyNumberFormat="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8" fillId="8" borderId="10" xfId="0" applyFont="1" applyFill="1" applyBorder="1" applyAlignment="1">
      <alignment horizontal="center"/>
    </xf>
    <xf numFmtId="0" fontId="8" fillId="8" borderId="11" xfId="0" applyFont="1" applyFill="1" applyBorder="1" applyAlignment="1">
      <alignment horizontal="center"/>
    </xf>
    <xf numFmtId="0" fontId="8" fillId="8" borderId="13" xfId="0" applyFont="1" applyFill="1" applyBorder="1" applyAlignment="1">
      <alignment horizontal="center"/>
    </xf>
    <xf numFmtId="0" fontId="8" fillId="8" borderId="14" xfId="0" applyFont="1" applyFill="1" applyBorder="1" applyAlignment="1">
      <alignment horizontal="center"/>
    </xf>
    <xf numFmtId="3" fontId="7" fillId="0" borderId="11"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4" fillId="0" borderId="0" xfId="0" applyFont="1" applyAlignment="1">
      <alignment horizontal="left" vertical="top"/>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4" xfId="0" applyBorder="1" applyAlignment="1">
      <alignment horizontal="left"/>
    </xf>
    <xf numFmtId="0" fontId="0" fillId="0" borderId="0" xfId="0" applyAlignment="1">
      <alignment horizontal="left"/>
    </xf>
    <xf numFmtId="0" fontId="0" fillId="0" borderId="5" xfId="0" applyBorder="1" applyAlignment="1">
      <alignment horizontal="left"/>
    </xf>
    <xf numFmtId="0" fontId="10" fillId="0" borderId="13" xfId="1" applyBorder="1" applyAlignment="1">
      <alignment horizontal="left"/>
    </xf>
    <xf numFmtId="0" fontId="10" fillId="0" borderId="14" xfId="1" applyBorder="1" applyAlignment="1">
      <alignment horizontal="left"/>
    </xf>
    <xf numFmtId="0" fontId="10" fillId="0" borderId="15" xfId="1" applyBorder="1" applyAlignment="1">
      <alignment horizontal="left"/>
    </xf>
    <xf numFmtId="0" fontId="11" fillId="12" borderId="11" xfId="0" applyFont="1" applyFill="1" applyBorder="1" applyAlignment="1">
      <alignment horizontal="center" vertical="center"/>
    </xf>
    <xf numFmtId="0" fontId="11" fillId="12" borderId="12" xfId="0" applyFont="1" applyFill="1" applyBorder="1" applyAlignment="1">
      <alignment horizontal="center" vertical="center"/>
    </xf>
    <xf numFmtId="0" fontId="11" fillId="12" borderId="0" xfId="0" applyFont="1" applyFill="1" applyAlignment="1">
      <alignment horizontal="center" vertical="center"/>
    </xf>
    <xf numFmtId="0" fontId="11" fillId="12" borderId="5" xfId="0" applyFont="1" applyFill="1" applyBorder="1" applyAlignment="1">
      <alignment horizontal="center" vertical="center"/>
    </xf>
    <xf numFmtId="3" fontId="12" fillId="7" borderId="10" xfId="0" applyNumberFormat="1" applyFont="1" applyFill="1" applyBorder="1" applyAlignment="1">
      <alignment horizontal="center" vertical="center"/>
    </xf>
    <xf numFmtId="3" fontId="12" fillId="7" borderId="12" xfId="0" applyNumberFormat="1" applyFont="1" applyFill="1" applyBorder="1" applyAlignment="1">
      <alignment horizontal="center" vertical="center"/>
    </xf>
    <xf numFmtId="3" fontId="12" fillId="7" borderId="13"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5" fillId="0" borderId="0" xfId="0" applyFont="1" applyAlignment="1">
      <alignment horizontal="left"/>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0" fillId="0" borderId="17" xfId="0" applyBorder="1" applyAlignment="1">
      <alignment horizontal="left"/>
    </xf>
    <xf numFmtId="0" fontId="0" fillId="0" borderId="6"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11" borderId="6" xfId="0"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4" fillId="0" borderId="11" xfId="0" applyFont="1" applyBorder="1" applyAlignment="1">
      <alignment horizontal="center"/>
    </xf>
    <xf numFmtId="0" fontId="6" fillId="2" borderId="6" xfId="0" applyFont="1" applyFill="1" applyBorder="1" applyAlignment="1">
      <alignment horizontal="center" wrapText="1"/>
    </xf>
    <xf numFmtId="0" fontId="6" fillId="2" borderId="9"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ankingschool.co.in/bank-news/arrears-calculator-for-clerical-customer-service-associates/" TargetMode="External"/><Relationship Id="rId1" Type="http://schemas.openxmlformats.org/officeDocument/2006/relationships/hyperlink" Target="https://bankingschool.co.in/bank-staff/arrears-estimator-for-bank-officers-and-award-sta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tabSelected="1" workbookViewId="0">
      <selection activeCell="B10" sqref="B10"/>
    </sheetView>
  </sheetViews>
  <sheetFormatPr defaultRowHeight="15"/>
  <cols>
    <col min="2" max="2" width="12.7109375" customWidth="1"/>
    <col min="5" max="5" width="10" customWidth="1"/>
    <col min="15" max="15" width="37.42578125" customWidth="1"/>
  </cols>
  <sheetData>
    <row r="1" spans="1:19">
      <c r="A1" s="55" t="s">
        <v>0</v>
      </c>
      <c r="B1" s="56"/>
      <c r="C1" s="56"/>
      <c r="D1" s="56"/>
      <c r="E1" s="56"/>
      <c r="F1" s="56"/>
      <c r="G1" s="56"/>
      <c r="H1" s="56"/>
      <c r="I1" s="56"/>
      <c r="J1" s="50" t="s">
        <v>1</v>
      </c>
      <c r="K1" s="50"/>
      <c r="L1" s="51"/>
    </row>
    <row r="2" spans="1:19" ht="15.75">
      <c r="A2" s="66" t="s">
        <v>2</v>
      </c>
      <c r="B2" s="67"/>
      <c r="C2" s="67"/>
      <c r="D2" s="67"/>
      <c r="E2" s="67"/>
      <c r="F2" s="67"/>
      <c r="G2" s="67"/>
      <c r="H2" s="67"/>
      <c r="I2" s="67"/>
      <c r="J2" s="67"/>
      <c r="K2" s="67"/>
      <c r="L2" s="68"/>
    </row>
    <row r="3" spans="1:19" ht="30.75" customHeight="1">
      <c r="A3" s="70" t="s">
        <v>3</v>
      </c>
      <c r="B3" s="71"/>
      <c r="C3" s="71"/>
      <c r="D3" s="71"/>
      <c r="E3" s="71"/>
      <c r="F3" s="71"/>
      <c r="G3" s="71"/>
      <c r="H3" s="71"/>
      <c r="I3" s="71"/>
      <c r="J3" s="71"/>
      <c r="K3" s="71"/>
      <c r="L3" s="72"/>
    </row>
    <row r="4" spans="1:19">
      <c r="A4" s="70"/>
      <c r="B4" s="71"/>
      <c r="C4" s="71"/>
      <c r="D4" s="71"/>
      <c r="E4" s="71"/>
      <c r="F4" s="71"/>
      <c r="G4" s="71"/>
      <c r="H4" s="71"/>
      <c r="I4" s="71"/>
      <c r="J4" s="71"/>
      <c r="K4" s="71"/>
      <c r="L4" s="72"/>
    </row>
    <row r="5" spans="1:19">
      <c r="A5" s="73" t="s">
        <v>4</v>
      </c>
      <c r="B5" s="74"/>
      <c r="C5" s="74"/>
      <c r="D5" s="74"/>
      <c r="E5" s="74"/>
      <c r="F5" s="74"/>
      <c r="G5" s="74"/>
      <c r="H5" s="74"/>
      <c r="I5" s="74"/>
      <c r="J5" s="74"/>
      <c r="K5" s="74"/>
      <c r="L5" s="75"/>
    </row>
    <row r="6" spans="1:19">
      <c r="A6" s="76" t="s">
        <v>5</v>
      </c>
      <c r="B6" s="77"/>
      <c r="C6" s="77"/>
      <c r="D6" s="77"/>
      <c r="E6" s="77"/>
      <c r="F6" s="77"/>
      <c r="G6" s="77"/>
      <c r="H6" s="77"/>
      <c r="I6" s="77"/>
      <c r="J6" s="77"/>
      <c r="K6" s="77"/>
      <c r="L6" s="78"/>
    </row>
    <row r="7" spans="1:19" ht="15" customHeight="1">
      <c r="A7" s="69" t="s">
        <v>6</v>
      </c>
      <c r="B7" s="69"/>
      <c r="C7" s="69"/>
      <c r="D7" s="69"/>
      <c r="E7" s="69"/>
      <c r="F7" s="69"/>
      <c r="G7" s="69"/>
      <c r="H7" s="69"/>
      <c r="I7" s="69"/>
      <c r="J7" s="69"/>
      <c r="K7" s="69"/>
      <c r="L7" s="69"/>
    </row>
    <row r="8" spans="1:19">
      <c r="A8" s="52" t="s">
        <v>7</v>
      </c>
      <c r="B8" s="53"/>
      <c r="C8" s="53"/>
      <c r="D8" s="53"/>
      <c r="E8" s="53"/>
      <c r="F8" s="53"/>
      <c r="G8" s="53"/>
      <c r="H8" s="53"/>
      <c r="I8" s="53"/>
      <c r="J8" s="53"/>
      <c r="K8" s="53"/>
      <c r="L8" s="54"/>
      <c r="O8" s="87" t="s">
        <v>8</v>
      </c>
      <c r="P8" s="88"/>
      <c r="Q8" s="89"/>
    </row>
    <row r="9" spans="1:19">
      <c r="A9" s="22" t="s">
        <v>9</v>
      </c>
      <c r="B9" s="21" t="s">
        <v>10</v>
      </c>
      <c r="C9" s="21" t="s">
        <v>11</v>
      </c>
      <c r="D9" s="21" t="s">
        <v>12</v>
      </c>
      <c r="E9" s="21" t="s">
        <v>13</v>
      </c>
      <c r="F9" s="21" t="s">
        <v>14</v>
      </c>
      <c r="G9" s="21" t="s">
        <v>15</v>
      </c>
      <c r="H9" s="21" t="s">
        <v>16</v>
      </c>
      <c r="I9" s="21" t="s">
        <v>17</v>
      </c>
      <c r="J9" s="21" t="s">
        <v>18</v>
      </c>
      <c r="K9" s="21" t="s">
        <v>19</v>
      </c>
      <c r="L9" s="1" t="s">
        <v>20</v>
      </c>
      <c r="O9" s="91" t="s">
        <v>21</v>
      </c>
      <c r="P9" s="92"/>
      <c r="Q9" s="93"/>
    </row>
    <row r="10" spans="1:19">
      <c r="A10" s="2">
        <v>44866</v>
      </c>
      <c r="B10" s="3">
        <v>0</v>
      </c>
      <c r="C10" s="5">
        <f>B10*16.4%</f>
        <v>0</v>
      </c>
      <c r="D10" s="4">
        <v>0</v>
      </c>
      <c r="E10" s="18">
        <v>0</v>
      </c>
      <c r="F10" s="4">
        <v>0</v>
      </c>
      <c r="G10" s="14">
        <f>IF(B10=0,0,600)</f>
        <v>0</v>
      </c>
      <c r="H10" s="6">
        <v>0.38919999999999999</v>
      </c>
      <c r="I10" s="7">
        <f>(B10+C10+E10+F10+D10+G10)*H10</f>
        <v>0</v>
      </c>
      <c r="J10" s="28">
        <v>0.10249999999999999</v>
      </c>
      <c r="K10" s="7">
        <f>B10*J10</f>
        <v>0</v>
      </c>
      <c r="L10" s="9">
        <f>B10+C10+D10+E10+F10+G10+I10+K10</f>
        <v>0</v>
      </c>
      <c r="O10" s="94" t="s">
        <v>22</v>
      </c>
      <c r="P10" s="95"/>
      <c r="Q10" s="19">
        <v>1250</v>
      </c>
    </row>
    <row r="11" spans="1:19">
      <c r="A11" s="2">
        <v>44896</v>
      </c>
      <c r="B11" s="3">
        <f>B10</f>
        <v>0</v>
      </c>
      <c r="C11" s="5">
        <f t="shared" ref="C11:C26" si="0">B11*16.4%</f>
        <v>0</v>
      </c>
      <c r="D11" s="4">
        <f>D10</f>
        <v>0</v>
      </c>
      <c r="E11" s="18">
        <f>E10</f>
        <v>0</v>
      </c>
      <c r="F11" s="4">
        <f>F10</f>
        <v>0</v>
      </c>
      <c r="G11" s="14">
        <f t="shared" ref="G11:G26" si="1">IF(B11=0,0,600)</f>
        <v>0</v>
      </c>
      <c r="H11" s="6">
        <v>0.38919999999999999</v>
      </c>
      <c r="I11" s="7">
        <f t="shared" ref="I11:I26" si="2">(B11+C11+E11+F11+D11+G11)*H11</f>
        <v>0</v>
      </c>
      <c r="J11" s="28">
        <f>J10</f>
        <v>0.10249999999999999</v>
      </c>
      <c r="K11" s="7">
        <f>B11*J11</f>
        <v>0</v>
      </c>
      <c r="L11" s="9">
        <f t="shared" ref="L11:L26" si="3">B11+C11+D11+E11+F11+G11+I11+K11</f>
        <v>0</v>
      </c>
      <c r="O11" s="47" t="s">
        <v>23</v>
      </c>
      <c r="P11" s="48"/>
      <c r="Q11" s="19">
        <v>1940</v>
      </c>
    </row>
    <row r="12" spans="1:19">
      <c r="A12" s="2">
        <v>44927</v>
      </c>
      <c r="B12" s="3">
        <f t="shared" ref="B12:B24" si="4">B11</f>
        <v>0</v>
      </c>
      <c r="C12" s="5">
        <f t="shared" si="0"/>
        <v>0</v>
      </c>
      <c r="D12" s="4">
        <f t="shared" ref="D12:E26" si="5">D11</f>
        <v>0</v>
      </c>
      <c r="E12" s="18">
        <f>E11</f>
        <v>0</v>
      </c>
      <c r="F12" s="4">
        <f t="shared" ref="F12:F26" si="6">F11</f>
        <v>0</v>
      </c>
      <c r="G12" s="14">
        <f t="shared" si="1"/>
        <v>0</v>
      </c>
      <c r="H12" s="6">
        <v>0.38919999999999999</v>
      </c>
      <c r="I12" s="7">
        <f t="shared" si="2"/>
        <v>0</v>
      </c>
      <c r="J12" s="28">
        <f t="shared" ref="J12:J23" si="7">J11</f>
        <v>0.10249999999999999</v>
      </c>
      <c r="K12" s="7">
        <f>B12*J12</f>
        <v>0</v>
      </c>
      <c r="L12" s="9">
        <f t="shared" si="3"/>
        <v>0</v>
      </c>
      <c r="O12" s="96" t="s">
        <v>24</v>
      </c>
      <c r="P12" s="97"/>
      <c r="Q12" s="19">
        <v>2920</v>
      </c>
    </row>
    <row r="13" spans="1:19">
      <c r="A13" s="2">
        <v>44958</v>
      </c>
      <c r="B13" s="3">
        <f t="shared" si="4"/>
        <v>0</v>
      </c>
      <c r="C13" s="5">
        <f t="shared" si="0"/>
        <v>0</v>
      </c>
      <c r="D13" s="4">
        <f t="shared" si="5"/>
        <v>0</v>
      </c>
      <c r="E13" s="18">
        <f t="shared" si="5"/>
        <v>0</v>
      </c>
      <c r="F13" s="4">
        <f t="shared" si="6"/>
        <v>0</v>
      </c>
      <c r="G13" s="14">
        <f t="shared" si="1"/>
        <v>0</v>
      </c>
      <c r="H13" s="6">
        <v>0.41160000000000002</v>
      </c>
      <c r="I13" s="7">
        <f t="shared" si="2"/>
        <v>0</v>
      </c>
      <c r="J13" s="28">
        <f t="shared" si="7"/>
        <v>0.10249999999999999</v>
      </c>
      <c r="K13" s="7">
        <f>B13*J13</f>
        <v>0</v>
      </c>
      <c r="L13" s="9">
        <f t="shared" si="3"/>
        <v>0</v>
      </c>
      <c r="O13" s="90" t="s">
        <v>25</v>
      </c>
      <c r="P13" s="90"/>
      <c r="Q13" s="90"/>
      <c r="R13" s="90"/>
      <c r="S13" s="90"/>
    </row>
    <row r="14" spans="1:19">
      <c r="A14" s="2">
        <v>44986</v>
      </c>
      <c r="B14" s="3">
        <f t="shared" si="4"/>
        <v>0</v>
      </c>
      <c r="C14" s="5">
        <f t="shared" si="0"/>
        <v>0</v>
      </c>
      <c r="D14" s="4">
        <f t="shared" si="5"/>
        <v>0</v>
      </c>
      <c r="E14" s="18">
        <f t="shared" si="5"/>
        <v>0</v>
      </c>
      <c r="F14" s="4">
        <f t="shared" si="6"/>
        <v>0</v>
      </c>
      <c r="G14" s="14">
        <f t="shared" si="1"/>
        <v>0</v>
      </c>
      <c r="H14" s="6">
        <v>0.41160000000000002</v>
      </c>
      <c r="I14" s="7">
        <f t="shared" si="2"/>
        <v>0</v>
      </c>
      <c r="J14" s="28">
        <f t="shared" si="7"/>
        <v>0.10249999999999999</v>
      </c>
      <c r="K14" s="7">
        <f>B14*J14</f>
        <v>0</v>
      </c>
      <c r="L14" s="9">
        <f t="shared" si="3"/>
        <v>0</v>
      </c>
    </row>
    <row r="15" spans="1:19">
      <c r="A15" s="2">
        <v>45017</v>
      </c>
      <c r="B15" s="3">
        <f t="shared" si="4"/>
        <v>0</v>
      </c>
      <c r="C15" s="5">
        <f t="shared" si="0"/>
        <v>0</v>
      </c>
      <c r="D15" s="4">
        <f t="shared" si="5"/>
        <v>0</v>
      </c>
      <c r="E15" s="18">
        <f t="shared" si="5"/>
        <v>0</v>
      </c>
      <c r="F15" s="4">
        <f t="shared" si="6"/>
        <v>0</v>
      </c>
      <c r="G15" s="14">
        <f t="shared" si="1"/>
        <v>0</v>
      </c>
      <c r="H15" s="6">
        <v>0.41160000000000002</v>
      </c>
      <c r="I15" s="7">
        <f t="shared" si="2"/>
        <v>0</v>
      </c>
      <c r="J15" s="28">
        <f t="shared" si="7"/>
        <v>0.10249999999999999</v>
      </c>
      <c r="K15" s="7">
        <f>B15*J15</f>
        <v>0</v>
      </c>
      <c r="L15" s="9">
        <f t="shared" si="3"/>
        <v>0</v>
      </c>
    </row>
    <row r="16" spans="1:19">
      <c r="A16" s="2">
        <v>45047</v>
      </c>
      <c r="B16" s="3">
        <f t="shared" si="4"/>
        <v>0</v>
      </c>
      <c r="C16" s="5">
        <f t="shared" si="0"/>
        <v>0</v>
      </c>
      <c r="D16" s="4">
        <f t="shared" si="5"/>
        <v>0</v>
      </c>
      <c r="E16" s="18">
        <f t="shared" si="5"/>
        <v>0</v>
      </c>
      <c r="F16" s="4">
        <f t="shared" si="6"/>
        <v>0</v>
      </c>
      <c r="G16" s="14">
        <f t="shared" si="1"/>
        <v>0</v>
      </c>
      <c r="H16" s="6">
        <v>0.41720000000000002</v>
      </c>
      <c r="I16" s="7">
        <f t="shared" si="2"/>
        <v>0</v>
      </c>
      <c r="J16" s="28">
        <f t="shared" si="7"/>
        <v>0.10249999999999999</v>
      </c>
      <c r="K16" s="7">
        <f>B16*J16</f>
        <v>0</v>
      </c>
      <c r="L16" s="9">
        <f t="shared" si="3"/>
        <v>0</v>
      </c>
    </row>
    <row r="17" spans="1:12">
      <c r="A17" s="2">
        <v>45078</v>
      </c>
      <c r="B17" s="3">
        <f t="shared" si="4"/>
        <v>0</v>
      </c>
      <c r="C17" s="5">
        <f t="shared" si="0"/>
        <v>0</v>
      </c>
      <c r="D17" s="4">
        <f t="shared" si="5"/>
        <v>0</v>
      </c>
      <c r="E17" s="18">
        <f t="shared" si="5"/>
        <v>0</v>
      </c>
      <c r="F17" s="4">
        <f t="shared" si="6"/>
        <v>0</v>
      </c>
      <c r="G17" s="14">
        <f t="shared" si="1"/>
        <v>0</v>
      </c>
      <c r="H17" s="6">
        <v>0.41720000000000002</v>
      </c>
      <c r="I17" s="7">
        <f t="shared" si="2"/>
        <v>0</v>
      </c>
      <c r="J17" s="28">
        <f t="shared" si="7"/>
        <v>0.10249999999999999</v>
      </c>
      <c r="K17" s="7">
        <f>B17*J17</f>
        <v>0</v>
      </c>
      <c r="L17" s="9">
        <f t="shared" si="3"/>
        <v>0</v>
      </c>
    </row>
    <row r="18" spans="1:12">
      <c r="A18" s="2">
        <v>45108</v>
      </c>
      <c r="B18" s="3">
        <f>B17</f>
        <v>0</v>
      </c>
      <c r="C18" s="5">
        <f t="shared" si="0"/>
        <v>0</v>
      </c>
      <c r="D18" s="4">
        <f t="shared" si="5"/>
        <v>0</v>
      </c>
      <c r="E18" s="18">
        <f t="shared" si="5"/>
        <v>0</v>
      </c>
      <c r="F18" s="4">
        <f t="shared" si="6"/>
        <v>0</v>
      </c>
      <c r="G18" s="14">
        <f t="shared" si="1"/>
        <v>0</v>
      </c>
      <c r="H18" s="6">
        <v>0.41720000000000002</v>
      </c>
      <c r="I18" s="7">
        <f t="shared" si="2"/>
        <v>0</v>
      </c>
      <c r="J18" s="28">
        <f t="shared" si="7"/>
        <v>0.10249999999999999</v>
      </c>
      <c r="K18" s="7">
        <f>B18*J18</f>
        <v>0</v>
      </c>
      <c r="L18" s="9">
        <f t="shared" si="3"/>
        <v>0</v>
      </c>
    </row>
    <row r="19" spans="1:12">
      <c r="A19" s="2">
        <v>45139</v>
      </c>
      <c r="B19" s="3">
        <f t="shared" si="4"/>
        <v>0</v>
      </c>
      <c r="C19" s="5">
        <f t="shared" si="0"/>
        <v>0</v>
      </c>
      <c r="D19" s="4">
        <f t="shared" si="5"/>
        <v>0</v>
      </c>
      <c r="E19" s="18">
        <f t="shared" si="5"/>
        <v>0</v>
      </c>
      <c r="F19" s="4">
        <f t="shared" si="6"/>
        <v>0</v>
      </c>
      <c r="G19" s="14">
        <f t="shared" si="1"/>
        <v>0</v>
      </c>
      <c r="H19" s="6">
        <v>0.44240000000000002</v>
      </c>
      <c r="I19" s="7">
        <f t="shared" si="2"/>
        <v>0</v>
      </c>
      <c r="J19" s="28">
        <f t="shared" si="7"/>
        <v>0.10249999999999999</v>
      </c>
      <c r="K19" s="7">
        <f>B19*J19</f>
        <v>0</v>
      </c>
      <c r="L19" s="9">
        <f t="shared" si="3"/>
        <v>0</v>
      </c>
    </row>
    <row r="20" spans="1:12">
      <c r="A20" s="2">
        <v>45170</v>
      </c>
      <c r="B20" s="3">
        <f t="shared" si="4"/>
        <v>0</v>
      </c>
      <c r="C20" s="5">
        <f t="shared" si="0"/>
        <v>0</v>
      </c>
      <c r="D20" s="4">
        <f t="shared" si="5"/>
        <v>0</v>
      </c>
      <c r="E20" s="18">
        <f t="shared" si="5"/>
        <v>0</v>
      </c>
      <c r="F20" s="4">
        <f t="shared" si="6"/>
        <v>0</v>
      </c>
      <c r="G20" s="14">
        <f t="shared" si="1"/>
        <v>0</v>
      </c>
      <c r="H20" s="6">
        <v>0.44240000000000002</v>
      </c>
      <c r="I20" s="7">
        <f t="shared" si="2"/>
        <v>0</v>
      </c>
      <c r="J20" s="28">
        <f t="shared" si="7"/>
        <v>0.10249999999999999</v>
      </c>
      <c r="K20" s="7">
        <f>B20*J20</f>
        <v>0</v>
      </c>
      <c r="L20" s="9">
        <f t="shared" si="3"/>
        <v>0</v>
      </c>
    </row>
    <row r="21" spans="1:12">
      <c r="A21" s="2">
        <v>45200</v>
      </c>
      <c r="B21" s="3">
        <f t="shared" si="4"/>
        <v>0</v>
      </c>
      <c r="C21" s="5">
        <f t="shared" si="0"/>
        <v>0</v>
      </c>
      <c r="D21" s="4">
        <f t="shared" si="5"/>
        <v>0</v>
      </c>
      <c r="E21" s="18">
        <f t="shared" si="5"/>
        <v>0</v>
      </c>
      <c r="F21" s="4">
        <f t="shared" si="6"/>
        <v>0</v>
      </c>
      <c r="G21" s="14">
        <f t="shared" si="1"/>
        <v>0</v>
      </c>
      <c r="H21" s="6">
        <v>0.44240000000000002</v>
      </c>
      <c r="I21" s="7">
        <f t="shared" si="2"/>
        <v>0</v>
      </c>
      <c r="J21" s="28">
        <f t="shared" si="7"/>
        <v>0.10249999999999999</v>
      </c>
      <c r="K21" s="7">
        <f>B21*J21</f>
        <v>0</v>
      </c>
      <c r="L21" s="9">
        <f t="shared" si="3"/>
        <v>0</v>
      </c>
    </row>
    <row r="22" spans="1:12">
      <c r="A22" s="2">
        <v>45231</v>
      </c>
      <c r="B22" s="3">
        <f t="shared" si="4"/>
        <v>0</v>
      </c>
      <c r="C22" s="5">
        <f t="shared" si="0"/>
        <v>0</v>
      </c>
      <c r="D22" s="4">
        <f t="shared" si="5"/>
        <v>0</v>
      </c>
      <c r="E22" s="18">
        <f t="shared" si="5"/>
        <v>0</v>
      </c>
      <c r="F22" s="4">
        <f t="shared" si="6"/>
        <v>0</v>
      </c>
      <c r="G22" s="14">
        <f t="shared" si="1"/>
        <v>0</v>
      </c>
      <c r="H22" s="6">
        <v>0.48509999999999998</v>
      </c>
      <c r="I22" s="7">
        <f t="shared" si="2"/>
        <v>0</v>
      </c>
      <c r="J22" s="28">
        <f t="shared" si="7"/>
        <v>0.10249999999999999</v>
      </c>
      <c r="K22" s="7">
        <f>B22*J22</f>
        <v>0</v>
      </c>
      <c r="L22" s="9">
        <f t="shared" si="3"/>
        <v>0</v>
      </c>
    </row>
    <row r="23" spans="1:12">
      <c r="A23" s="2">
        <v>45261</v>
      </c>
      <c r="B23" s="3">
        <f t="shared" si="4"/>
        <v>0</v>
      </c>
      <c r="C23" s="5">
        <f t="shared" si="0"/>
        <v>0</v>
      </c>
      <c r="D23" s="4">
        <f t="shared" si="5"/>
        <v>0</v>
      </c>
      <c r="E23" s="18">
        <f t="shared" si="5"/>
        <v>0</v>
      </c>
      <c r="F23" s="4">
        <f t="shared" si="6"/>
        <v>0</v>
      </c>
      <c r="G23" s="14">
        <f t="shared" si="1"/>
        <v>0</v>
      </c>
      <c r="H23" s="6">
        <v>0.48509999999999998</v>
      </c>
      <c r="I23" s="7">
        <f t="shared" si="2"/>
        <v>0</v>
      </c>
      <c r="J23" s="28">
        <f t="shared" si="7"/>
        <v>0.10249999999999999</v>
      </c>
      <c r="K23" s="7">
        <f>B23*J23</f>
        <v>0</v>
      </c>
      <c r="L23" s="9">
        <f t="shared" si="3"/>
        <v>0</v>
      </c>
    </row>
    <row r="24" spans="1:12">
      <c r="A24" s="37">
        <v>45292</v>
      </c>
      <c r="B24" s="38">
        <f t="shared" si="4"/>
        <v>0</v>
      </c>
      <c r="C24" s="39">
        <f t="shared" si="0"/>
        <v>0</v>
      </c>
      <c r="D24" s="40">
        <f t="shared" si="5"/>
        <v>0</v>
      </c>
      <c r="E24" s="18">
        <f t="shared" si="5"/>
        <v>0</v>
      </c>
      <c r="F24" s="4">
        <f t="shared" si="6"/>
        <v>0</v>
      </c>
      <c r="G24" s="41">
        <f t="shared" si="1"/>
        <v>0</v>
      </c>
      <c r="H24" s="42">
        <v>0.48509999999999998</v>
      </c>
      <c r="I24" s="43">
        <f t="shared" si="2"/>
        <v>0</v>
      </c>
      <c r="J24" s="44">
        <f t="shared" ref="J24" si="8">J23</f>
        <v>0.10249999999999999</v>
      </c>
      <c r="K24" s="43">
        <f t="shared" ref="K24:K26" si="9">B24*J24</f>
        <v>0</v>
      </c>
      <c r="L24" s="45">
        <f t="shared" si="3"/>
        <v>0</v>
      </c>
    </row>
    <row r="25" spans="1:12">
      <c r="A25" s="2">
        <v>45323</v>
      </c>
      <c r="B25" s="3">
        <f>B24</f>
        <v>0</v>
      </c>
      <c r="C25" s="7">
        <f t="shared" si="0"/>
        <v>0</v>
      </c>
      <c r="D25" s="4">
        <f t="shared" si="5"/>
        <v>0</v>
      </c>
      <c r="E25" s="18">
        <f t="shared" si="5"/>
        <v>0</v>
      </c>
      <c r="F25" s="4">
        <f t="shared" si="6"/>
        <v>0</v>
      </c>
      <c r="G25" s="36">
        <f t="shared" si="1"/>
        <v>0</v>
      </c>
      <c r="H25" s="13">
        <v>0.48509999999999998</v>
      </c>
      <c r="I25" s="7">
        <f t="shared" si="2"/>
        <v>0</v>
      </c>
      <c r="J25" s="28">
        <f t="shared" ref="J25" si="10">J24</f>
        <v>0.10249999999999999</v>
      </c>
      <c r="K25" s="7">
        <f t="shared" si="9"/>
        <v>0</v>
      </c>
      <c r="L25" s="9">
        <f t="shared" si="3"/>
        <v>0</v>
      </c>
    </row>
    <row r="26" spans="1:12">
      <c r="A26" s="2">
        <v>45352</v>
      </c>
      <c r="B26" s="3">
        <f>B25</f>
        <v>0</v>
      </c>
      <c r="C26" s="7">
        <f t="shared" si="0"/>
        <v>0</v>
      </c>
      <c r="D26" s="4">
        <f t="shared" si="5"/>
        <v>0</v>
      </c>
      <c r="E26" s="18">
        <f t="shared" si="5"/>
        <v>0</v>
      </c>
      <c r="F26" s="4">
        <f t="shared" si="6"/>
        <v>0</v>
      </c>
      <c r="G26" s="36">
        <f t="shared" si="1"/>
        <v>0</v>
      </c>
      <c r="H26" s="13">
        <v>0.48509999999999998</v>
      </c>
      <c r="I26" s="7">
        <f t="shared" si="2"/>
        <v>0</v>
      </c>
      <c r="J26" s="28">
        <f t="shared" ref="J26" si="11">J25</f>
        <v>0.10249999999999999</v>
      </c>
      <c r="K26" s="7">
        <f t="shared" si="9"/>
        <v>0</v>
      </c>
      <c r="L26" s="9">
        <f t="shared" si="3"/>
        <v>0</v>
      </c>
    </row>
    <row r="27" spans="1:12">
      <c r="L27" s="24">
        <f>SUM(L10:L26)</f>
        <v>0</v>
      </c>
    </row>
    <row r="29" spans="1:12">
      <c r="A29" s="52" t="s">
        <v>26</v>
      </c>
      <c r="B29" s="53"/>
      <c r="C29" s="53"/>
      <c r="D29" s="53"/>
      <c r="E29" s="53"/>
      <c r="F29" s="53"/>
      <c r="G29" s="53"/>
      <c r="H29" s="53"/>
      <c r="I29" s="53"/>
      <c r="J29" s="53"/>
      <c r="K29" s="53"/>
      <c r="L29" s="54"/>
    </row>
    <row r="30" spans="1:12">
      <c r="A30" s="22" t="s">
        <v>9</v>
      </c>
      <c r="B30" s="21" t="s">
        <v>10</v>
      </c>
      <c r="C30" s="21" t="s">
        <v>11</v>
      </c>
      <c r="D30" s="21" t="s">
        <v>12</v>
      </c>
      <c r="E30" s="21" t="s">
        <v>13</v>
      </c>
      <c r="F30" s="21" t="s">
        <v>14</v>
      </c>
      <c r="G30" s="21" t="s">
        <v>15</v>
      </c>
      <c r="H30" s="21" t="s">
        <v>16</v>
      </c>
      <c r="I30" s="21" t="s">
        <v>17</v>
      </c>
      <c r="J30" s="21" t="s">
        <v>18</v>
      </c>
      <c r="K30" s="21" t="s">
        <v>19</v>
      </c>
      <c r="L30" s="1" t="s">
        <v>20</v>
      </c>
    </row>
    <row r="31" spans="1:12">
      <c r="A31" s="2">
        <v>44866</v>
      </c>
      <c r="B31" s="3">
        <f>VLOOKUP(B10,'Formula &amp; Reference'!A3:B34,2,FALSE)</f>
        <v>0</v>
      </c>
      <c r="C31" s="11">
        <f>B31*26.5%</f>
        <v>0</v>
      </c>
      <c r="D31" s="8">
        <f>VLOOKUP(D10,'Formula &amp; Reference'!K3:L6,2,FALSE)</f>
        <v>0</v>
      </c>
      <c r="E31" s="27">
        <f>VLOOKUP(E10,'Formula &amp; Reference'!H4:I9,2,FALSE)</f>
        <v>0</v>
      </c>
      <c r="F31" s="12">
        <f>VLOOKUP(F10,'Formula &amp; Reference'!N4:O10,2,FALSE)</f>
        <v>0</v>
      </c>
      <c r="G31" s="14">
        <f>IF(B31=0,0,850)</f>
        <v>0</v>
      </c>
      <c r="H31" s="13">
        <v>7.4300000000000005E-2</v>
      </c>
      <c r="I31" s="12">
        <f>(B31+C31+E31+F31+G31+D31)*H31</f>
        <v>0</v>
      </c>
      <c r="J31" s="20">
        <f xml:space="preserve"> IF(J10 = 0, 0, 10.25%)</f>
        <v>0.10249999999999999</v>
      </c>
      <c r="K31" s="12">
        <f>B31*J31</f>
        <v>0</v>
      </c>
      <c r="L31" s="10">
        <f>B31+C31+D31+E31+F31+G31+I31+K31</f>
        <v>0</v>
      </c>
    </row>
    <row r="32" spans="1:12">
      <c r="A32" s="2">
        <v>44896</v>
      </c>
      <c r="B32" s="3">
        <f>B31</f>
        <v>0</v>
      </c>
      <c r="C32" s="11">
        <f t="shared" ref="C32:C47" si="12">B32*26.5%</f>
        <v>0</v>
      </c>
      <c r="D32" s="8">
        <f>VLOOKUP(D11,'Formula &amp; Reference'!K3:L6,2,FALSE)</f>
        <v>0</v>
      </c>
      <c r="E32" s="27">
        <f>VLOOKUP(E11,'Formula &amp; Reference'!H4:I9,2,FALSE)</f>
        <v>0</v>
      </c>
      <c r="F32" s="12">
        <f>F31</f>
        <v>0</v>
      </c>
      <c r="G32" s="14">
        <f t="shared" ref="G32:G45" si="13">IF(B32=0,0,850)</f>
        <v>0</v>
      </c>
      <c r="H32" s="13">
        <v>7.4300000000000005E-2</v>
      </c>
      <c r="I32" s="12">
        <f>(B32+C32+E32+F32+G32)*H32</f>
        <v>0</v>
      </c>
      <c r="J32" s="20">
        <f xml:space="preserve"> IF(J11 = 0, 0, 10.25%)</f>
        <v>0.10249999999999999</v>
      </c>
      <c r="K32" s="12">
        <f>B32*J32</f>
        <v>0</v>
      </c>
      <c r="L32" s="10">
        <f t="shared" ref="L32:L45" si="14">B32+C32+D32+E32+F32+G32+I32+K32</f>
        <v>0</v>
      </c>
    </row>
    <row r="33" spans="1:12">
      <c r="A33" s="2">
        <v>44927</v>
      </c>
      <c r="B33" s="3">
        <f t="shared" ref="B33:B47" si="15">B32</f>
        <v>0</v>
      </c>
      <c r="C33" s="11">
        <f t="shared" si="12"/>
        <v>0</v>
      </c>
      <c r="D33" s="8">
        <f>VLOOKUP(D12,'Formula &amp; Reference'!K3:L6,2,FALSE)</f>
        <v>0</v>
      </c>
      <c r="E33" s="27">
        <f>VLOOKUP(E12,'Formula &amp; Reference'!H4:I9,2,FALSE)</f>
        <v>0</v>
      </c>
      <c r="F33" s="12">
        <f t="shared" ref="F33:F47" si="16">F32</f>
        <v>0</v>
      </c>
      <c r="G33" s="14">
        <f t="shared" si="13"/>
        <v>0</v>
      </c>
      <c r="H33" s="13">
        <v>7.4300000000000005E-2</v>
      </c>
      <c r="I33" s="12">
        <f>(B33+C33+E33+F33+G33)*H33</f>
        <v>0</v>
      </c>
      <c r="J33" s="20">
        <f xml:space="preserve"> IF(J12 = 0, 0, 10.25%)</f>
        <v>0.10249999999999999</v>
      </c>
      <c r="K33" s="12">
        <f>B33*J33</f>
        <v>0</v>
      </c>
      <c r="L33" s="10">
        <f t="shared" si="14"/>
        <v>0</v>
      </c>
    </row>
    <row r="34" spans="1:12">
      <c r="A34" s="2">
        <v>44958</v>
      </c>
      <c r="B34" s="3">
        <f t="shared" si="15"/>
        <v>0</v>
      </c>
      <c r="C34" s="11">
        <f t="shared" si="12"/>
        <v>0</v>
      </c>
      <c r="D34" s="8">
        <f>VLOOKUP(D13,'Formula &amp; Reference'!K3:L6,2,FALSE)</f>
        <v>0</v>
      </c>
      <c r="E34" s="27">
        <f>VLOOKUP(E13,'Formula &amp; Reference'!H4:I9,2,FALSE)</f>
        <v>0</v>
      </c>
      <c r="F34" s="12">
        <f t="shared" si="16"/>
        <v>0</v>
      </c>
      <c r="G34" s="14">
        <f t="shared" si="13"/>
        <v>0</v>
      </c>
      <c r="H34" s="13">
        <v>9.4E-2</v>
      </c>
      <c r="I34" s="12">
        <f>(B34+C34+E34+F34+G34)*H34</f>
        <v>0</v>
      </c>
      <c r="J34" s="20">
        <f xml:space="preserve"> IF(J13 = 0, 0, 10.25%)</f>
        <v>0.10249999999999999</v>
      </c>
      <c r="K34" s="12">
        <f>B34*J34</f>
        <v>0</v>
      </c>
      <c r="L34" s="10">
        <f t="shared" si="14"/>
        <v>0</v>
      </c>
    </row>
    <row r="35" spans="1:12">
      <c r="A35" s="2">
        <v>44986</v>
      </c>
      <c r="B35" s="3">
        <f t="shared" si="15"/>
        <v>0</v>
      </c>
      <c r="C35" s="11">
        <f t="shared" si="12"/>
        <v>0</v>
      </c>
      <c r="D35" s="8">
        <f>VLOOKUP(D14,'Formula &amp; Reference'!K3:L6,2,FALSE)</f>
        <v>0</v>
      </c>
      <c r="E35" s="27">
        <f>VLOOKUP(E14,'Formula &amp; Reference'!H4:I9,2,FALSE)</f>
        <v>0</v>
      </c>
      <c r="F35" s="12">
        <f t="shared" si="16"/>
        <v>0</v>
      </c>
      <c r="G35" s="14">
        <f t="shared" si="13"/>
        <v>0</v>
      </c>
      <c r="H35" s="13">
        <v>9.4E-2</v>
      </c>
      <c r="I35" s="12">
        <f>(B35+C35+E35+F35+G35)*H35</f>
        <v>0</v>
      </c>
      <c r="J35" s="20">
        <f xml:space="preserve"> IF(J14 = 0, 0, 10.25%)</f>
        <v>0.10249999999999999</v>
      </c>
      <c r="K35" s="12">
        <f>B35*J35</f>
        <v>0</v>
      </c>
      <c r="L35" s="10">
        <f t="shared" si="14"/>
        <v>0</v>
      </c>
    </row>
    <row r="36" spans="1:12">
      <c r="A36" s="2">
        <v>45017</v>
      </c>
      <c r="B36" s="3">
        <f t="shared" si="15"/>
        <v>0</v>
      </c>
      <c r="C36" s="11">
        <f t="shared" si="12"/>
        <v>0</v>
      </c>
      <c r="D36" s="8">
        <f>VLOOKUP(D15,'Formula &amp; Reference'!K3:L6,2,FALSE)</f>
        <v>0</v>
      </c>
      <c r="E36" s="27">
        <f>VLOOKUP(E15,'Formula &amp; Reference'!H4:I9,2,FALSE)</f>
        <v>0</v>
      </c>
      <c r="F36" s="12">
        <f t="shared" si="16"/>
        <v>0</v>
      </c>
      <c r="G36" s="14">
        <f t="shared" si="13"/>
        <v>0</v>
      </c>
      <c r="H36" s="13">
        <v>9.4E-2</v>
      </c>
      <c r="I36" s="12">
        <f>(B36+C36+E36+F36+G36)*H36</f>
        <v>0</v>
      </c>
      <c r="J36" s="20">
        <f xml:space="preserve"> IF(J15 = 0, 0, 10.25%)</f>
        <v>0.10249999999999999</v>
      </c>
      <c r="K36" s="12">
        <f>B36*J36</f>
        <v>0</v>
      </c>
      <c r="L36" s="10">
        <f t="shared" si="14"/>
        <v>0</v>
      </c>
    </row>
    <row r="37" spans="1:12">
      <c r="A37" s="2">
        <v>45047</v>
      </c>
      <c r="B37" s="3">
        <f t="shared" si="15"/>
        <v>0</v>
      </c>
      <c r="C37" s="11">
        <f t="shared" si="12"/>
        <v>0</v>
      </c>
      <c r="D37" s="8">
        <f>VLOOKUP(D16,'Formula &amp; Reference'!K3:L6,2,FALSE)</f>
        <v>0</v>
      </c>
      <c r="E37" s="27">
        <f>VLOOKUP(E16,'Formula &amp; Reference'!H4:I9,2,FALSE)</f>
        <v>0</v>
      </c>
      <c r="F37" s="12">
        <f t="shared" si="16"/>
        <v>0</v>
      </c>
      <c r="G37" s="14">
        <f t="shared" si="13"/>
        <v>0</v>
      </c>
      <c r="H37" s="13">
        <v>9.9000000000000005E-2</v>
      </c>
      <c r="I37" s="12">
        <f>(B37+C37+E37+F37+G37)*H37</f>
        <v>0</v>
      </c>
      <c r="J37" s="20">
        <f xml:space="preserve"> IF(J16 = 0, 0, 10.25%)</f>
        <v>0.10249999999999999</v>
      </c>
      <c r="K37" s="12">
        <f>B37*J37</f>
        <v>0</v>
      </c>
      <c r="L37" s="10">
        <f t="shared" si="14"/>
        <v>0</v>
      </c>
    </row>
    <row r="38" spans="1:12">
      <c r="A38" s="2">
        <v>45078</v>
      </c>
      <c r="B38" s="3">
        <f t="shared" si="15"/>
        <v>0</v>
      </c>
      <c r="C38" s="11">
        <f t="shared" si="12"/>
        <v>0</v>
      </c>
      <c r="D38" s="8">
        <f>VLOOKUP(D17,'Formula &amp; Reference'!K3:L6,2,FALSE)</f>
        <v>0</v>
      </c>
      <c r="E38" s="27">
        <f>VLOOKUP(E17,'Formula &amp; Reference'!H4:I9,2,FALSE)</f>
        <v>0</v>
      </c>
      <c r="F38" s="12">
        <f t="shared" si="16"/>
        <v>0</v>
      </c>
      <c r="G38" s="14">
        <f t="shared" si="13"/>
        <v>0</v>
      </c>
      <c r="H38" s="13">
        <v>9.9000000000000005E-2</v>
      </c>
      <c r="I38" s="12">
        <f>(B38+C38+E38+F38+G38)*H38</f>
        <v>0</v>
      </c>
      <c r="J38" s="20">
        <f xml:space="preserve"> IF(J17 = 0, 0, 10.25%)</f>
        <v>0.10249999999999999</v>
      </c>
      <c r="K38" s="12">
        <f>B38*J38</f>
        <v>0</v>
      </c>
      <c r="L38" s="10">
        <f t="shared" si="14"/>
        <v>0</v>
      </c>
    </row>
    <row r="39" spans="1:12">
      <c r="A39" s="2">
        <v>45108</v>
      </c>
      <c r="B39" s="3">
        <f t="shared" si="15"/>
        <v>0</v>
      </c>
      <c r="C39" s="11">
        <f t="shared" si="12"/>
        <v>0</v>
      </c>
      <c r="D39" s="8">
        <f>VLOOKUP(D18,'Formula &amp; Reference'!K3:L6,2,FALSE)</f>
        <v>0</v>
      </c>
      <c r="E39" s="27">
        <f>VLOOKUP(E18,'Formula &amp; Reference'!H4:I9,2,FALSE)</f>
        <v>0</v>
      </c>
      <c r="F39" s="12">
        <f t="shared" si="16"/>
        <v>0</v>
      </c>
      <c r="G39" s="14">
        <f t="shared" si="13"/>
        <v>0</v>
      </c>
      <c r="H39" s="13">
        <v>9.9000000000000005E-2</v>
      </c>
      <c r="I39" s="12">
        <f>(B39+C39+E39+F39+G39)*H39</f>
        <v>0</v>
      </c>
      <c r="J39" s="20">
        <f xml:space="preserve"> IF(J18 = 0, 0, 10.25%)</f>
        <v>0.10249999999999999</v>
      </c>
      <c r="K39" s="12">
        <f>B39*J39</f>
        <v>0</v>
      </c>
      <c r="L39" s="10">
        <f t="shared" si="14"/>
        <v>0</v>
      </c>
    </row>
    <row r="40" spans="1:12">
      <c r="A40" s="2">
        <v>45139</v>
      </c>
      <c r="B40" s="3">
        <f t="shared" si="15"/>
        <v>0</v>
      </c>
      <c r="C40" s="11">
        <f t="shared" si="12"/>
        <v>0</v>
      </c>
      <c r="D40" s="8">
        <f>VLOOKUP(D19,'Formula &amp; Reference'!K3:L6,2,FALSE)</f>
        <v>0</v>
      </c>
      <c r="E40" s="27">
        <f>VLOOKUP(E19,'Formula &amp; Reference'!H4:I9,2,FALSE)</f>
        <v>0</v>
      </c>
      <c r="F40" s="12">
        <f t="shared" si="16"/>
        <v>0</v>
      </c>
      <c r="G40" s="14">
        <f t="shared" si="13"/>
        <v>0</v>
      </c>
      <c r="H40" s="13">
        <v>0.1207</v>
      </c>
      <c r="I40" s="12">
        <f>(B40+C40+E40+F40+G40)*H40</f>
        <v>0</v>
      </c>
      <c r="J40" s="20">
        <f xml:space="preserve"> IF(J19 = 0, 0, 10.25%)</f>
        <v>0.10249999999999999</v>
      </c>
      <c r="K40" s="12">
        <f>B40*J40</f>
        <v>0</v>
      </c>
      <c r="L40" s="10">
        <f t="shared" si="14"/>
        <v>0</v>
      </c>
    </row>
    <row r="41" spans="1:12">
      <c r="A41" s="2">
        <v>45170</v>
      </c>
      <c r="B41" s="3">
        <f t="shared" si="15"/>
        <v>0</v>
      </c>
      <c r="C41" s="11">
        <f t="shared" si="12"/>
        <v>0</v>
      </c>
      <c r="D41" s="8">
        <f>VLOOKUP(D20,'Formula &amp; Reference'!K3:L6,2,FALSE)</f>
        <v>0</v>
      </c>
      <c r="E41" s="27">
        <f>VLOOKUP(E20,'Formula &amp; Reference'!H4:I9,2,FALSE)</f>
        <v>0</v>
      </c>
      <c r="F41" s="12">
        <f t="shared" si="16"/>
        <v>0</v>
      </c>
      <c r="G41" s="14">
        <f t="shared" si="13"/>
        <v>0</v>
      </c>
      <c r="H41" s="13">
        <v>0.1207</v>
      </c>
      <c r="I41" s="12">
        <f>(B41+C41+E41+F41+G41)*H41</f>
        <v>0</v>
      </c>
      <c r="J41" s="20">
        <f xml:space="preserve"> IF(J20 = 0, 0, 10.25%)</f>
        <v>0.10249999999999999</v>
      </c>
      <c r="K41" s="12">
        <f>B41*J41</f>
        <v>0</v>
      </c>
      <c r="L41" s="10">
        <f t="shared" si="14"/>
        <v>0</v>
      </c>
    </row>
    <row r="42" spans="1:12">
      <c r="A42" s="2">
        <v>45200</v>
      </c>
      <c r="B42" s="3">
        <f t="shared" si="15"/>
        <v>0</v>
      </c>
      <c r="C42" s="11">
        <f t="shared" si="12"/>
        <v>0</v>
      </c>
      <c r="D42" s="8">
        <f>VLOOKUP(D21,'Formula &amp; Reference'!K3:L6,2,FALSE)</f>
        <v>0</v>
      </c>
      <c r="E42" s="27">
        <f>VLOOKUP(E21,'Formula &amp; Reference'!H4:I9,2,FALSE)</f>
        <v>0</v>
      </c>
      <c r="F42" s="12">
        <f t="shared" si="16"/>
        <v>0</v>
      </c>
      <c r="G42" s="14">
        <f t="shared" si="13"/>
        <v>0</v>
      </c>
      <c r="H42" s="13">
        <v>0.1207</v>
      </c>
      <c r="I42" s="12">
        <f>(B42+C42+E42+F42+G42)*H42</f>
        <v>0</v>
      </c>
      <c r="J42" s="20">
        <f xml:space="preserve"> IF(J21 = 0, 0, 10.25%)</f>
        <v>0.10249999999999999</v>
      </c>
      <c r="K42" s="12">
        <f>B42*J42</f>
        <v>0</v>
      </c>
      <c r="L42" s="10">
        <f t="shared" si="14"/>
        <v>0</v>
      </c>
    </row>
    <row r="43" spans="1:12">
      <c r="A43" s="2">
        <v>45231</v>
      </c>
      <c r="B43" s="3">
        <f t="shared" si="15"/>
        <v>0</v>
      </c>
      <c r="C43" s="11">
        <f t="shared" si="12"/>
        <v>0</v>
      </c>
      <c r="D43" s="8">
        <f>VLOOKUP(D22,'Formula &amp; Reference'!K3:L6,2,FALSE)</f>
        <v>0</v>
      </c>
      <c r="E43" s="27">
        <f>VLOOKUP(E22,'Formula &amp; Reference'!H4:I9,2,FALSE)</f>
        <v>0</v>
      </c>
      <c r="F43" s="12">
        <f t="shared" si="16"/>
        <v>0</v>
      </c>
      <c r="G43" s="14">
        <f t="shared" si="13"/>
        <v>0</v>
      </c>
      <c r="H43" s="13">
        <v>0.15770000000000001</v>
      </c>
      <c r="I43" s="12">
        <f>(B43+C43+E43+F43+G43)*H43</f>
        <v>0</v>
      </c>
      <c r="J43" s="20">
        <f xml:space="preserve"> IF(J22 = 0, 0, 10.25%)</f>
        <v>0.10249999999999999</v>
      </c>
      <c r="K43" s="12">
        <f>B43*J43</f>
        <v>0</v>
      </c>
      <c r="L43" s="10">
        <f t="shared" si="14"/>
        <v>0</v>
      </c>
    </row>
    <row r="44" spans="1:12">
      <c r="A44" s="2">
        <v>45261</v>
      </c>
      <c r="B44" s="3">
        <f t="shared" si="15"/>
        <v>0</v>
      </c>
      <c r="C44" s="11">
        <f t="shared" si="12"/>
        <v>0</v>
      </c>
      <c r="D44" s="8">
        <f>VLOOKUP(D23,'Formula &amp; Reference'!K3:L6,2,FALSE)</f>
        <v>0</v>
      </c>
      <c r="E44" s="27">
        <f>VLOOKUP(E23,'Formula &amp; Reference'!H4:I9,2,FALSE)</f>
        <v>0</v>
      </c>
      <c r="F44" s="12">
        <f t="shared" si="16"/>
        <v>0</v>
      </c>
      <c r="G44" s="14">
        <f t="shared" si="13"/>
        <v>0</v>
      </c>
      <c r="H44" s="13">
        <v>0.15770000000000001</v>
      </c>
      <c r="I44" s="12">
        <f>(B44+C44+E44+F44+G44)*H44</f>
        <v>0</v>
      </c>
      <c r="J44" s="20">
        <f xml:space="preserve"> IF(J23 = 0, 0, 10.25%)</f>
        <v>0.10249999999999999</v>
      </c>
      <c r="K44" s="12">
        <f>B44*J44</f>
        <v>0</v>
      </c>
      <c r="L44" s="10">
        <f t="shared" si="14"/>
        <v>0</v>
      </c>
    </row>
    <row r="45" spans="1:12">
      <c r="A45" s="2">
        <v>45292</v>
      </c>
      <c r="B45" s="3">
        <f t="shared" si="15"/>
        <v>0</v>
      </c>
      <c r="C45" s="11">
        <f t="shared" si="12"/>
        <v>0</v>
      </c>
      <c r="D45" s="8">
        <f>VLOOKUP(D24,'Formula &amp; Reference'!K3:L6,2,FALSE)</f>
        <v>0</v>
      </c>
      <c r="E45" s="27">
        <f>VLOOKUP(E24,'Formula &amp; Reference'!H4:I9,2,FALSE)</f>
        <v>0</v>
      </c>
      <c r="F45" s="12">
        <f t="shared" si="16"/>
        <v>0</v>
      </c>
      <c r="G45" s="14">
        <f t="shared" si="13"/>
        <v>0</v>
      </c>
      <c r="H45" s="13">
        <v>0.15770000000000001</v>
      </c>
      <c r="I45" s="12">
        <f>(B45+C45+E45+F45+G45)*H45</f>
        <v>0</v>
      </c>
      <c r="J45" s="20">
        <f xml:space="preserve"> IF(J24 = 0, 0, 10.25%)</f>
        <v>0.10249999999999999</v>
      </c>
      <c r="K45" s="12">
        <f>B45*J45</f>
        <v>0</v>
      </c>
      <c r="L45" s="10">
        <f t="shared" si="14"/>
        <v>0</v>
      </c>
    </row>
    <row r="46" spans="1:12">
      <c r="A46" s="2">
        <v>45323</v>
      </c>
      <c r="B46" s="3">
        <f t="shared" si="15"/>
        <v>0</v>
      </c>
      <c r="C46" s="11">
        <f t="shared" si="12"/>
        <v>0</v>
      </c>
      <c r="D46" s="8">
        <f>VLOOKUP(D25,'Formula &amp; Reference'!K3:L6,2,FALSE)</f>
        <v>0</v>
      </c>
      <c r="E46" s="27">
        <f>VLOOKUP(E25,'Formula &amp; Reference'!H4:I9,2,FALSE)</f>
        <v>0</v>
      </c>
      <c r="F46" s="12">
        <f t="shared" si="16"/>
        <v>0</v>
      </c>
      <c r="G46" s="14">
        <f t="shared" ref="G46:G47" si="17">IF(B46=0,0,850)</f>
        <v>0</v>
      </c>
      <c r="H46" s="13">
        <v>0.1573</v>
      </c>
      <c r="I46" s="12">
        <f t="shared" ref="I46:I47" si="18">(B46+C46+E46+F46+G46)*H46</f>
        <v>0</v>
      </c>
      <c r="J46" s="20">
        <f t="shared" ref="J46:J47" si="19" xml:space="preserve"> IF(J25 = 0, 0, 10.25%)</f>
        <v>0.10249999999999999</v>
      </c>
      <c r="K46" s="12">
        <f t="shared" ref="K46:K47" si="20">B46*J46</f>
        <v>0</v>
      </c>
      <c r="L46" s="10">
        <f t="shared" ref="L46:L47" si="21">B46+C46+D46+E46+F46+G46+I46+K46</f>
        <v>0</v>
      </c>
    </row>
    <row r="47" spans="1:12">
      <c r="A47" s="2">
        <v>45352</v>
      </c>
      <c r="B47" s="3">
        <f>B46</f>
        <v>0</v>
      </c>
      <c r="C47" s="11">
        <f t="shared" si="12"/>
        <v>0</v>
      </c>
      <c r="D47" s="8">
        <f>VLOOKUP(D26,'Formula &amp; Reference'!K3:L6,2,FALSE)</f>
        <v>0</v>
      </c>
      <c r="E47" s="27">
        <f>VLOOKUP(E26,'Formula &amp; Reference'!H4:I9,2,FALSE)</f>
        <v>0</v>
      </c>
      <c r="F47" s="12">
        <f t="shared" si="16"/>
        <v>0</v>
      </c>
      <c r="G47" s="14">
        <f t="shared" si="17"/>
        <v>0</v>
      </c>
      <c r="H47" s="13">
        <v>0.1573</v>
      </c>
      <c r="I47" s="12">
        <f t="shared" si="18"/>
        <v>0</v>
      </c>
      <c r="J47" s="20">
        <f t="shared" si="19"/>
        <v>0.10249999999999999</v>
      </c>
      <c r="K47" s="12">
        <f t="shared" si="20"/>
        <v>0</v>
      </c>
      <c r="L47" s="10">
        <f t="shared" si="21"/>
        <v>0</v>
      </c>
    </row>
    <row r="48" spans="1:12">
      <c r="L48" s="24">
        <f>SUM(L31:L47)</f>
        <v>0</v>
      </c>
    </row>
    <row r="49" spans="1:9">
      <c r="A49" s="57" t="s">
        <v>27</v>
      </c>
      <c r="B49" s="58"/>
      <c r="C49" s="58"/>
      <c r="D49" s="58"/>
      <c r="E49" s="58"/>
      <c r="F49" s="61">
        <f>L48-L27</f>
        <v>0</v>
      </c>
      <c r="G49" s="62"/>
      <c r="H49" s="62"/>
      <c r="I49" s="63"/>
    </row>
    <row r="50" spans="1:9">
      <c r="A50" s="59"/>
      <c r="B50" s="60"/>
      <c r="C50" s="60"/>
      <c r="D50" s="60"/>
      <c r="E50" s="60"/>
      <c r="F50" s="64"/>
      <c r="G50" s="64"/>
      <c r="H50" s="64"/>
      <c r="I50" s="65"/>
    </row>
    <row r="51" spans="1:9">
      <c r="A51" s="103" t="s">
        <v>28</v>
      </c>
      <c r="B51" s="103"/>
      <c r="C51" s="103"/>
      <c r="D51" s="103"/>
      <c r="E51" s="103"/>
      <c r="F51" s="103"/>
      <c r="G51" s="103"/>
      <c r="H51" s="103"/>
      <c r="I51" s="103"/>
    </row>
    <row r="52" spans="1:9">
      <c r="A52" s="99" t="s">
        <v>29</v>
      </c>
      <c r="B52" s="99"/>
      <c r="C52" s="99"/>
      <c r="D52" s="100"/>
      <c r="E52" s="31">
        <f>E54-E56</f>
        <v>0</v>
      </c>
      <c r="F52" s="30" t="s">
        <v>30</v>
      </c>
    </row>
    <row r="53" spans="1:9">
      <c r="A53" s="98" t="s">
        <v>31</v>
      </c>
      <c r="B53" s="98"/>
      <c r="C53" s="98"/>
      <c r="D53" s="98"/>
      <c r="E53" s="34">
        <f>L48</f>
        <v>0</v>
      </c>
      <c r="F53" s="30"/>
    </row>
    <row r="54" spans="1:9">
      <c r="A54" s="98" t="s">
        <v>32</v>
      </c>
      <c r="B54" s="98"/>
      <c r="C54" s="98"/>
      <c r="D54" s="98"/>
      <c r="E54" s="34">
        <f>E53/10</f>
        <v>0</v>
      </c>
      <c r="F54" s="30" t="s">
        <v>33</v>
      </c>
    </row>
    <row r="55" spans="1:9">
      <c r="A55" s="98" t="s">
        <v>34</v>
      </c>
      <c r="B55" s="98"/>
      <c r="C55" s="98"/>
      <c r="D55" s="98"/>
      <c r="E55" s="34">
        <f>L27</f>
        <v>0</v>
      </c>
      <c r="F55" s="30"/>
    </row>
    <row r="56" spans="1:9">
      <c r="A56" s="98" t="s">
        <v>35</v>
      </c>
      <c r="B56" s="98"/>
      <c r="C56" s="98"/>
      <c r="D56" s="98"/>
      <c r="E56" s="35">
        <f>E55/10</f>
        <v>0</v>
      </c>
      <c r="F56" s="30" t="s">
        <v>36</v>
      </c>
    </row>
    <row r="57" spans="1:9">
      <c r="A57" s="99" t="s">
        <v>37</v>
      </c>
      <c r="B57" s="99"/>
      <c r="C57" s="99"/>
      <c r="D57" s="100"/>
      <c r="E57" s="32"/>
      <c r="F57" s="29" t="s">
        <v>38</v>
      </c>
    </row>
    <row r="58" spans="1:9">
      <c r="A58" s="101" t="s">
        <v>39</v>
      </c>
      <c r="B58" s="101"/>
      <c r="C58" s="101"/>
      <c r="D58" s="102"/>
      <c r="E58" s="33"/>
      <c r="F58" s="29" t="s">
        <v>40</v>
      </c>
    </row>
    <row r="59" spans="1:9" ht="18.75" customHeight="1">
      <c r="A59" s="79" t="s">
        <v>41</v>
      </c>
      <c r="B59" s="79"/>
      <c r="C59" s="80"/>
      <c r="D59" s="83">
        <f>F49-E52-E57-E58</f>
        <v>0</v>
      </c>
      <c r="E59" s="84"/>
    </row>
    <row r="60" spans="1:9" ht="18.75" customHeight="1">
      <c r="A60" s="81"/>
      <c r="B60" s="81"/>
      <c r="C60" s="82"/>
      <c r="D60" s="85"/>
      <c r="E60" s="86"/>
    </row>
  </sheetData>
  <sheetProtection algorithmName="SHA-512" hashValue="QjUi6dCwu4H3Xx+66jt8jlFoJ6kPkh1GSEWEc6xdFcLtnIbeOTEFl6FMtvLuq5AesIw0Wjjh75FEY5QISkfdBw==" saltValue="Yp+uspEN1Znis3CVuXNq0A==" spinCount="100000" sheet="1" objects="1" scenarios="1"/>
  <protectedRanges>
    <protectedRange sqref="B10:B26" name="Range1"/>
    <protectedRange sqref="D10:F26" name="Range2"/>
    <protectedRange sqref="B31:B47" name="Range3"/>
    <protectedRange sqref="E57:E58" name="Range4"/>
  </protectedRanges>
  <mergeCells count="26">
    <mergeCell ref="A59:C60"/>
    <mergeCell ref="D59:E60"/>
    <mergeCell ref="O8:Q8"/>
    <mergeCell ref="O13:S13"/>
    <mergeCell ref="O9:Q9"/>
    <mergeCell ref="O10:P10"/>
    <mergeCell ref="O12:P12"/>
    <mergeCell ref="A56:D56"/>
    <mergeCell ref="A57:D57"/>
    <mergeCell ref="A58:D58"/>
    <mergeCell ref="A51:I51"/>
    <mergeCell ref="A52:D52"/>
    <mergeCell ref="A53:D53"/>
    <mergeCell ref="A54:D54"/>
    <mergeCell ref="A55:D55"/>
    <mergeCell ref="J1:L1"/>
    <mergeCell ref="A8:L8"/>
    <mergeCell ref="A1:I1"/>
    <mergeCell ref="A49:E50"/>
    <mergeCell ref="F49:I50"/>
    <mergeCell ref="A2:L2"/>
    <mergeCell ref="A7:L7"/>
    <mergeCell ref="A29:L29"/>
    <mergeCell ref="A3:L4"/>
    <mergeCell ref="A5:L5"/>
    <mergeCell ref="A6:L6"/>
  </mergeCells>
  <dataValidations count="7">
    <dataValidation type="list" allowBlank="1" showInputMessage="1" showErrorMessage="1" sqref="F10:F26" xr:uid="{B938DEBB-24D0-4CF2-9C34-D49AD51F480B}">
      <formula1>"0,1990,2220,2500,2730,2970,3220"</formula1>
    </dataValidation>
    <dataValidation type="list" allowBlank="1" showInputMessage="1" showErrorMessage="1" sqref="J11:J26" xr:uid="{C1EE9358-D1ED-4397-B695-E045D512FE23}">
      <formula1>"0,10.25"</formula1>
    </dataValidation>
    <dataValidation type="list" allowBlank="1" showInputMessage="1" showErrorMessage="1" sqref="D11:D26" xr:uid="{45EE847B-52DE-4A6B-A82A-E8F94B6B360C}">
      <formula1>"0,820,1280,1930"</formula1>
    </dataValidation>
    <dataValidation allowBlank="1" showInputMessage="1" showErrorMessage="1" sqref="F31" xr:uid="{7F33E241-5E1C-475F-B18B-B088A01A58CA}"/>
    <dataValidation type="list" allowBlank="1" showInputMessage="1" showErrorMessage="1" sqref="J10" xr:uid="{B5BBC1A4-7FD6-45E8-B3A9-3E669036A37E}">
      <formula1>"0,10.25%"</formula1>
    </dataValidation>
    <dataValidation type="list" allowBlank="1" showInputMessage="1" showErrorMessage="1" sqref="D10" xr:uid="{05CAA1B5-6D46-4390-B4B2-94DB3E7BEFC0}">
      <formula1>"0,1250,1940,2920"</formula1>
    </dataValidation>
    <dataValidation type="list" allowBlank="1" showInputMessage="1" showErrorMessage="1" sqref="E10:E26" xr:uid="{1F7F3288-E38A-4A4D-8F34-AAFFE9CF53B5}">
      <formula1>"0,625,1215,1835,2455,3045"</formula1>
    </dataValidation>
  </dataValidations>
  <hyperlinks>
    <hyperlink ref="A6" r:id="rId1" xr:uid="{F9607757-3E0F-495E-B415-B63D1C800F55}"/>
    <hyperlink ref="A6:L6" r:id="rId2" display="https://bankingschool.co.in/bank-news/arrears-calculator-for-clerical-customer-service-associates/" xr:uid="{0A58E1F3-3B01-4C95-A322-1642CF2CCACB}"/>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E8E020A-8907-43B9-B87D-7C6A806C115E}">
          <x14:formula1>
            <xm:f>'Formula &amp; Reference'!$A$3:$A$32</xm:f>
          </x14:formula1>
          <xm:sqref>B10:B26</xm:sqref>
        </x14:dataValidation>
        <x14:dataValidation type="list" allowBlank="1" showInputMessage="1" showErrorMessage="1" xr:uid="{EC106FED-0CB7-48B0-AA3F-A6A2C6BAD0A4}">
          <x14:formula1>
            <xm:f>'Formula &amp; Reference'!$B$4:$B$34</xm:f>
          </x14:formula1>
          <xm:sqref>B31:B47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0BEA1-7751-4445-9A69-246AA58ABC44}">
  <dimension ref="A1:P51"/>
  <sheetViews>
    <sheetView topLeftCell="A9" workbookViewId="0">
      <selection activeCell="B33" sqref="B33:B34"/>
    </sheetView>
  </sheetViews>
  <sheetFormatPr defaultRowHeight="15"/>
  <cols>
    <col min="1" max="1" width="22.42578125" customWidth="1"/>
    <col min="2" max="2" width="15.42578125" customWidth="1"/>
    <col min="8" max="8" width="14.85546875" customWidth="1"/>
    <col min="9" max="9" width="15.42578125" customWidth="1"/>
  </cols>
  <sheetData>
    <row r="1" spans="1:16">
      <c r="A1" s="90" t="s">
        <v>42</v>
      </c>
      <c r="B1" s="90"/>
      <c r="C1" s="90"/>
      <c r="D1" s="90"/>
      <c r="E1" s="90"/>
      <c r="F1" s="90"/>
      <c r="G1" s="90"/>
      <c r="H1" s="90"/>
      <c r="I1" s="90"/>
      <c r="J1" s="90"/>
      <c r="K1" s="90"/>
      <c r="L1" s="90"/>
      <c r="M1" s="90"/>
      <c r="N1" s="90"/>
      <c r="O1" s="90"/>
      <c r="P1" s="90"/>
    </row>
    <row r="2" spans="1:16" ht="16.5" customHeight="1">
      <c r="A2" s="23" t="s">
        <v>43</v>
      </c>
      <c r="B2" s="23" t="s">
        <v>44</v>
      </c>
      <c r="H2" s="104" t="s">
        <v>13</v>
      </c>
      <c r="I2" s="104"/>
      <c r="K2" s="105" t="s">
        <v>45</v>
      </c>
      <c r="L2" s="105"/>
      <c r="N2" s="104" t="s">
        <v>14</v>
      </c>
      <c r="O2" s="104"/>
    </row>
    <row r="3" spans="1:16" ht="17.25" customHeight="1">
      <c r="A3" s="17">
        <v>0</v>
      </c>
      <c r="B3" s="17">
        <v>0</v>
      </c>
      <c r="H3" s="15" t="s">
        <v>46</v>
      </c>
      <c r="I3" s="15" t="s">
        <v>47</v>
      </c>
      <c r="K3" s="19">
        <v>0</v>
      </c>
      <c r="L3" s="19">
        <v>0</v>
      </c>
      <c r="N3" s="15" t="s">
        <v>48</v>
      </c>
      <c r="O3" s="15" t="s">
        <v>49</v>
      </c>
    </row>
    <row r="4" spans="1:16">
      <c r="A4" s="16">
        <v>17900</v>
      </c>
      <c r="B4" s="25">
        <v>24050</v>
      </c>
      <c r="H4" s="8">
        <v>0</v>
      </c>
      <c r="I4" s="8">
        <v>0</v>
      </c>
      <c r="K4" s="19">
        <v>1250</v>
      </c>
      <c r="L4" s="19">
        <v>1680</v>
      </c>
      <c r="N4" s="8">
        <v>0</v>
      </c>
      <c r="O4" s="8">
        <v>0</v>
      </c>
    </row>
    <row r="5" spans="1:16">
      <c r="A5" s="16">
        <v>18900</v>
      </c>
      <c r="B5" s="25">
        <f>24050+1340</f>
        <v>25390</v>
      </c>
      <c r="H5" s="8">
        <v>625</v>
      </c>
      <c r="I5" s="7">
        <v>820</v>
      </c>
      <c r="K5" s="19">
        <v>1940</v>
      </c>
      <c r="L5" s="26">
        <v>2605</v>
      </c>
      <c r="N5" s="8">
        <v>1990</v>
      </c>
      <c r="O5" s="8">
        <v>3155</v>
      </c>
    </row>
    <row r="6" spans="1:16">
      <c r="A6" s="16">
        <v>19900</v>
      </c>
      <c r="B6" s="25">
        <f>25390+1340</f>
        <v>26730</v>
      </c>
      <c r="H6" s="8">
        <v>1215</v>
      </c>
      <c r="I6" s="7">
        <v>1640</v>
      </c>
      <c r="K6" s="19">
        <v>2920</v>
      </c>
      <c r="L6" s="26">
        <v>3925</v>
      </c>
      <c r="N6" s="8">
        <v>2220</v>
      </c>
      <c r="O6" s="8">
        <v>3155</v>
      </c>
    </row>
    <row r="7" spans="1:16">
      <c r="A7" s="16">
        <v>20900</v>
      </c>
      <c r="B7" s="25">
        <f>26730+1340</f>
        <v>28070</v>
      </c>
      <c r="H7" s="8">
        <v>1835</v>
      </c>
      <c r="I7" s="7">
        <v>2460</v>
      </c>
      <c r="N7" s="8">
        <v>2500</v>
      </c>
      <c r="O7" s="8">
        <v>3155</v>
      </c>
    </row>
    <row r="8" spans="1:16">
      <c r="A8" s="16">
        <v>22130</v>
      </c>
      <c r="B8" s="25">
        <f>28070+1650</f>
        <v>29720</v>
      </c>
      <c r="H8" s="8">
        <v>2455</v>
      </c>
      <c r="I8" s="7">
        <v>3280</v>
      </c>
      <c r="N8" s="8">
        <v>2730</v>
      </c>
      <c r="O8" s="8">
        <v>3155</v>
      </c>
    </row>
    <row r="9" spans="1:16">
      <c r="A9" s="16">
        <v>23360</v>
      </c>
      <c r="B9" s="25">
        <f>29720+1650</f>
        <v>31370</v>
      </c>
      <c r="H9" s="8">
        <v>3045</v>
      </c>
      <c r="I9" s="7">
        <v>4100</v>
      </c>
      <c r="N9" s="8">
        <v>2970</v>
      </c>
      <c r="O9" s="8">
        <v>3155</v>
      </c>
    </row>
    <row r="10" spans="1:16">
      <c r="A10" s="16">
        <v>24590</v>
      </c>
      <c r="B10" s="25">
        <f>31370+1650</f>
        <v>33020</v>
      </c>
      <c r="N10" s="8">
        <v>3220</v>
      </c>
      <c r="O10" s="8">
        <v>3155</v>
      </c>
    </row>
    <row r="11" spans="1:16">
      <c r="A11" s="16">
        <v>26080</v>
      </c>
      <c r="B11" s="25">
        <f>33020+2000</f>
        <v>35020</v>
      </c>
    </row>
    <row r="12" spans="1:16">
      <c r="A12" s="16">
        <v>27570</v>
      </c>
      <c r="B12" s="25">
        <f>35020+2000</f>
        <v>37020</v>
      </c>
    </row>
    <row r="13" spans="1:16">
      <c r="A13" s="16">
        <v>29060</v>
      </c>
      <c r="B13" s="25">
        <f>37020+2000</f>
        <v>39020</v>
      </c>
    </row>
    <row r="14" spans="1:16">
      <c r="A14" s="16">
        <v>30550</v>
      </c>
      <c r="B14" s="25">
        <f>39020+2000</f>
        <v>41020</v>
      </c>
    </row>
    <row r="15" spans="1:16">
      <c r="A15" s="16">
        <v>32280</v>
      </c>
      <c r="B15" s="25">
        <f>41020+2340</f>
        <v>43360</v>
      </c>
      <c r="C15">
        <v>1</v>
      </c>
    </row>
    <row r="16" spans="1:16">
      <c r="A16" s="16">
        <v>34010</v>
      </c>
      <c r="B16" s="25">
        <f>43360+2340</f>
        <v>45700</v>
      </c>
      <c r="C16">
        <v>2</v>
      </c>
    </row>
    <row r="17" spans="1:3">
      <c r="A17" s="16">
        <v>35740</v>
      </c>
      <c r="B17" s="25">
        <f>45700+2340</f>
        <v>48040</v>
      </c>
      <c r="C17">
        <v>3</v>
      </c>
    </row>
    <row r="18" spans="1:3">
      <c r="A18" s="16">
        <v>37470</v>
      </c>
      <c r="B18" s="25">
        <f>48040+2340</f>
        <v>50380</v>
      </c>
      <c r="C18">
        <v>4</v>
      </c>
    </row>
    <row r="19" spans="1:3">
      <c r="A19" s="16">
        <v>39200</v>
      </c>
      <c r="B19" s="25">
        <f>50380+2340</f>
        <v>52720</v>
      </c>
      <c r="C19">
        <v>5</v>
      </c>
    </row>
    <row r="20" spans="1:3">
      <c r="A20" s="16">
        <v>40930</v>
      </c>
      <c r="B20" s="25">
        <f>52720+2340</f>
        <v>55060</v>
      </c>
      <c r="C20">
        <v>6</v>
      </c>
    </row>
    <row r="21" spans="1:3">
      <c r="A21" s="16">
        <v>42660</v>
      </c>
      <c r="B21" s="25">
        <f>55060+2340</f>
        <v>57400</v>
      </c>
      <c r="C21">
        <v>7</v>
      </c>
    </row>
    <row r="22" spans="1:3">
      <c r="A22" s="16">
        <v>45930</v>
      </c>
      <c r="B22" s="25">
        <f>57400+4400</f>
        <v>61800</v>
      </c>
    </row>
    <row r="23" spans="1:3">
      <c r="A23" s="16">
        <v>47920</v>
      </c>
      <c r="B23" s="25">
        <f>61800+2680</f>
        <v>64480</v>
      </c>
    </row>
    <row r="24" spans="1:3">
      <c r="A24" s="16">
        <v>49910</v>
      </c>
      <c r="B24" s="25">
        <v>67160</v>
      </c>
    </row>
    <row r="25" spans="1:3">
      <c r="A25" s="16">
        <v>51900</v>
      </c>
      <c r="B25" s="25">
        <v>69840</v>
      </c>
    </row>
    <row r="26" spans="1:3">
      <c r="A26" s="16">
        <v>53890</v>
      </c>
      <c r="B26" s="25">
        <v>72520</v>
      </c>
    </row>
    <row r="27" spans="1:3">
      <c r="A27" s="16">
        <v>55880</v>
      </c>
      <c r="B27" s="25">
        <v>75200</v>
      </c>
    </row>
    <row r="28" spans="1:3">
      <c r="A28" s="16">
        <v>57870</v>
      </c>
      <c r="B28" s="25">
        <v>77880</v>
      </c>
    </row>
    <row r="29" spans="1:3">
      <c r="A29" s="16">
        <v>59860</v>
      </c>
      <c r="B29" s="25">
        <v>80560</v>
      </c>
    </row>
    <row r="30" spans="1:3">
      <c r="A30" s="16">
        <v>61850</v>
      </c>
      <c r="B30" s="25">
        <v>83240</v>
      </c>
    </row>
    <row r="31" spans="1:3">
      <c r="A31" s="16">
        <v>63840</v>
      </c>
      <c r="B31" s="25">
        <v>85920</v>
      </c>
    </row>
    <row r="32" spans="1:3">
      <c r="A32" s="49">
        <v>65830</v>
      </c>
      <c r="B32" s="46">
        <v>88600</v>
      </c>
    </row>
    <row r="33" spans="1:2">
      <c r="A33" s="48"/>
      <c r="B33" s="8">
        <v>91280</v>
      </c>
    </row>
    <row r="34" spans="1:2">
      <c r="A34" s="48"/>
      <c r="B34" s="8">
        <v>93960</v>
      </c>
    </row>
    <row r="51" spans="8:9">
      <c r="H51">
        <f>VLOOKUP(N4,'Formula &amp; Reference'!K3:L6,2,FALSE)</f>
        <v>0</v>
      </c>
      <c r="I51">
        <f>VLOOKUP(I10,'Formula &amp; Reference'!H4:I9,2,FALSE)</f>
        <v>0</v>
      </c>
    </row>
  </sheetData>
  <sheetProtection sheet="1" objects="1" scenarios="1"/>
  <mergeCells count="4">
    <mergeCell ref="A1:P1"/>
    <mergeCell ref="H2:I2"/>
    <mergeCell ref="N2:O2"/>
    <mergeCell ref="K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2024-03-08T22:39:51Z</dcterms:created>
  <dcterms:modified xsi:type="dcterms:W3CDTF">2024-03-09T06:24:26Z</dcterms:modified>
  <cp:category/>
  <cp:contentStatus/>
</cp:coreProperties>
</file>